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970" windowWidth="11385" windowHeight="6360" activeTab="0"/>
  </bookViews>
  <sheets>
    <sheet name="Credits" sheetId="1" r:id="rId1"/>
    <sheet name="Figure9.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<sst xmlns="http://schemas.openxmlformats.org/spreadsheetml/2006/main" count="63" uniqueCount="63">
  <si>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Development</t>
  </si>
  <si>
    <t>Year 1</t>
  </si>
  <si>
    <t>Year 2</t>
  </si>
  <si>
    <t>Year 3</t>
  </si>
  <si>
    <t>Year 4</t>
  </si>
  <si>
    <t>P&amp;L Projections</t>
  </si>
  <si>
    <t>Gross Sales</t>
  </si>
  <si>
    <t>Gross Margin</t>
  </si>
  <si>
    <t>Year 5</t>
  </si>
  <si>
    <t>Other G&amp;A</t>
  </si>
  <si>
    <t>Test</t>
  </si>
  <si>
    <t>Launch</t>
  </si>
  <si>
    <t>Expand Independent Pet Specialty</t>
  </si>
  <si>
    <t>Add Petco</t>
  </si>
  <si>
    <t>Four SKU's</t>
  </si>
  <si>
    <t>Oats only   (300 gram)</t>
  </si>
  <si>
    <t>Oats only   (1 kilogram)</t>
  </si>
  <si>
    <t>On shelf price</t>
  </si>
  <si>
    <t>Meat and Oats (300 gram - small)</t>
  </si>
  <si>
    <t>Meat and Oats (1 kilogram - bulk)</t>
  </si>
  <si>
    <t>SKU 1 revenue</t>
  </si>
  <si>
    <t>SKU 2 revenue</t>
  </si>
  <si>
    <t>SKU 3 revenue</t>
  </si>
  <si>
    <t>SKU 4 revenue</t>
  </si>
  <si>
    <t>Independent Pet Specialty Stores (15,000)</t>
  </si>
  <si>
    <t>PetSupplies (200) (new versions of 4 SKUs)</t>
  </si>
  <si>
    <t>PetSmart (1000)  (new versions of 4 SKUs)</t>
  </si>
  <si>
    <t>PetCo (900)  (new versions of 4 SKUs)</t>
  </si>
  <si>
    <t>Total stores selling products</t>
  </si>
  <si>
    <t>Total revenue</t>
  </si>
  <si>
    <t>Total units solds</t>
  </si>
  <si>
    <t>Add PetSmart and expand Independent Pet Specialty</t>
  </si>
  <si>
    <t>Revenue Projections</t>
  </si>
  <si>
    <t>Retailer Margin</t>
  </si>
  <si>
    <t>Wholesale</t>
  </si>
  <si>
    <t>Net Sale Price</t>
  </si>
  <si>
    <t>Trade Allowance
(Samples, etc)</t>
  </si>
  <si>
    <t>Spin-rate per month per store
All grain half spin of meat)</t>
  </si>
  <si>
    <t>Gross Profit</t>
  </si>
  <si>
    <t>Sales and marketing</t>
  </si>
  <si>
    <t>Conversion to finished product (10%)</t>
  </si>
  <si>
    <t>Packaging (5%)</t>
  </si>
  <si>
    <t>Shipping/logistics (3%)</t>
  </si>
  <si>
    <t>Operating Profit/loss to LLC Members</t>
  </si>
  <si>
    <t xml:space="preserve">Net profit margin before tax </t>
  </si>
  <si>
    <t>Raw Materials (35% 1st year, declining next years)</t>
  </si>
  <si>
    <t>Manufacturing enigineering/extra materials</t>
  </si>
  <si>
    <t>Add PetSupplies</t>
  </si>
  <si>
    <t>R&amp;D (not full time in 1st year)</t>
  </si>
  <si>
    <t>HealthyWages:  Projected Revenue and P&amp;L</t>
  </si>
  <si>
    <t>Marc H. Meyer and Fred Crane</t>
  </si>
  <si>
    <t>PLEASE READ</t>
  </si>
  <si>
    <t>Use these spreadsheets as a template for your own venture !</t>
  </si>
  <si>
    <t>These spreadsheets are intended for class instruction and student project development only.</t>
  </si>
  <si>
    <t xml:space="preserve">No representation is made regarding the accuracy of calculations in these spreadsheets. </t>
  </si>
  <si>
    <t>This is an extremely detailed planning template.</t>
  </si>
  <si>
    <t>Use it carefully and wisely.</t>
  </si>
  <si>
    <t>Use of these materials for anything other than project development in courses using our book is prohibited</t>
  </si>
  <si>
    <t>unless approved in writing by Marc H. Meyer.</t>
  </si>
  <si>
    <t>Copyright©  Marc H. Meyer, Boston, MA</t>
  </si>
  <si>
    <t>Financial Projections for a Premium Pet Snack Venture</t>
  </si>
  <si>
    <t>Sage Publications, 2014</t>
  </si>
  <si>
    <t>Entrepreneurship:  An Innovator's Guide to Startups and Corporate Ventures 2e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</si>
</sst>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_);\(0.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Border="1" applyAlignment="1">
      <alignment/>
    </xf>
    <xf numFmtId="38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7" fontId="4" fillId="0" borderId="0" xfId="0" applyNumberFormat="1" applyFont="1" applyBorder="1" applyAlignment="1">
      <alignment horizontal="right" vertical="top"/>
    </xf>
    <xf numFmtId="37" fontId="4" fillId="0" borderId="15" xfId="0" applyNumberFormat="1" applyFont="1" applyBorder="1" applyAlignment="1">
      <alignment horizontal="right" vertical="top"/>
    </xf>
    <xf numFmtId="37" fontId="4" fillId="0" borderId="19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 horizontal="right" vertical="top"/>
    </xf>
    <xf numFmtId="3" fontId="6" fillId="0" borderId="16" xfId="0" applyNumberFormat="1" applyFont="1" applyBorder="1" applyAlignment="1">
      <alignment horizontal="right" vertical="top"/>
    </xf>
    <xf numFmtId="3" fontId="6" fillId="0" borderId="20" xfId="0" applyNumberFormat="1" applyFont="1" applyBorder="1" applyAlignment="1">
      <alignment horizontal="right" vertical="top"/>
    </xf>
    <xf numFmtId="3" fontId="6" fillId="0" borderId="17" xfId="0" applyNumberFormat="1" applyFont="1" applyBorder="1" applyAlignment="1">
      <alignment horizontal="right" vertical="top"/>
    </xf>
    <xf numFmtId="165" fontId="4" fillId="0" borderId="0" xfId="0" applyNumberFormat="1" applyFont="1" applyBorder="1" applyAlignment="1">
      <alignment/>
    </xf>
    <xf numFmtId="9" fontId="14" fillId="0" borderId="11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 vertical="top"/>
    </xf>
    <xf numFmtId="9" fontId="4" fillId="0" borderId="19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top"/>
    </xf>
    <xf numFmtId="3" fontId="4" fillId="0" borderId="14" xfId="0" applyNumberFormat="1" applyFont="1" applyBorder="1" applyAlignment="1">
      <alignment horizontal="right" vertical="top"/>
    </xf>
    <xf numFmtId="9" fontId="4" fillId="0" borderId="11" xfId="0" applyNumberFormat="1" applyFont="1" applyBorder="1" applyAlignment="1">
      <alignment horizontal="right" vertical="top"/>
    </xf>
    <xf numFmtId="9" fontId="4" fillId="0" borderId="15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3" fontId="4" fillId="0" borderId="18" xfId="0" applyNumberFormat="1" applyFont="1" applyBorder="1" applyAlignment="1">
      <alignment horizontal="right" vertical="top"/>
    </xf>
    <xf numFmtId="37" fontId="4" fillId="0" borderId="11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F28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5" width="9.140625" style="101" customWidth="1"/>
    <col min="6" max="6" width="9.140625" style="102" customWidth="1"/>
    <col min="7" max="16384" width="9.140625" style="101" customWidth="1"/>
  </cols>
  <sheetData>
    <row r="3" ht="18.75">
      <c r="F3" s="105" t="s">
        <v>60</v>
      </c>
    </row>
    <row r="11" ht="15.75">
      <c r="F11" s="103" t="s">
        <v>50</v>
      </c>
    </row>
    <row r="12" ht="15.75">
      <c r="F12" s="106" t="s">
        <v>62</v>
      </c>
    </row>
    <row r="13" ht="15.75">
      <c r="F13" s="103" t="s">
        <v>61</v>
      </c>
    </row>
    <row r="16" ht="12.75">
      <c r="F16" s="104" t="s">
        <v>51</v>
      </c>
    </row>
    <row r="17" ht="12.75">
      <c r="F17" s="102" t="s">
        <v>52</v>
      </c>
    </row>
    <row r="18" ht="12.75">
      <c r="F18" s="102" t="s">
        <v>53</v>
      </c>
    </row>
    <row r="19" ht="12.75">
      <c r="F19" s="102" t="s">
        <v>54</v>
      </c>
    </row>
    <row r="20" ht="12.75">
      <c r="F20" s="101"/>
    </row>
    <row r="21" ht="12.75">
      <c r="F21" s="102" t="s">
        <v>55</v>
      </c>
    </row>
    <row r="22" ht="12.75">
      <c r="F22" s="102" t="s">
        <v>56</v>
      </c>
    </row>
    <row r="23" ht="12.75">
      <c r="F23" s="101"/>
    </row>
    <row r="24" ht="12.75">
      <c r="F24" s="102" t="s">
        <v>57</v>
      </c>
    </row>
    <row r="25" ht="12.75">
      <c r="F25" s="102" t="s">
        <v>58</v>
      </c>
    </row>
    <row r="28" ht="12.75">
      <c r="F28" s="10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zoomScale="90" zoomScaleNormal="90" zoomScalePageLayoutView="0" workbookViewId="0" topLeftCell="A1">
      <selection activeCell="Y2" sqref="Y2"/>
    </sheetView>
  </sheetViews>
  <sheetFormatPr defaultColWidth="9.140625" defaultRowHeight="12.75"/>
  <cols>
    <col min="1" max="1" width="4.7109375" style="1" customWidth="1"/>
    <col min="2" max="2" width="41.00390625" style="1" customWidth="1"/>
    <col min="3" max="14" width="14.140625" style="1" customWidth="1"/>
    <col min="15" max="15" width="12.421875" style="1" bestFit="1" customWidth="1"/>
    <col min="16" max="27" width="12.421875" style="1" customWidth="1"/>
    <col min="28" max="31" width="13.57421875" style="1" bestFit="1" customWidth="1"/>
    <col min="32" max="16384" width="9.140625" style="1" customWidth="1"/>
  </cols>
  <sheetData>
    <row r="1" ht="15.75">
      <c r="A1" s="9" t="s">
        <v>49</v>
      </c>
    </row>
    <row r="2" spans="1:8" ht="48">
      <c r="A2" s="1" t="s">
        <v>14</v>
      </c>
      <c r="C2" s="56" t="s">
        <v>17</v>
      </c>
      <c r="D2" s="56" t="s">
        <v>33</v>
      </c>
      <c r="E2" s="56" t="s">
        <v>34</v>
      </c>
      <c r="F2" s="63" t="s">
        <v>36</v>
      </c>
      <c r="G2" s="56" t="s">
        <v>35</v>
      </c>
      <c r="H2" s="64" t="s">
        <v>37</v>
      </c>
    </row>
    <row r="3" spans="1:33" ht="12.75">
      <c r="A3" s="1">
        <v>1</v>
      </c>
      <c r="B3" s="1" t="s">
        <v>18</v>
      </c>
      <c r="C3" s="57">
        <v>7</v>
      </c>
      <c r="D3" s="58">
        <v>0.35</v>
      </c>
      <c r="E3" s="59">
        <f>C3*(1-D3)</f>
        <v>4.55</v>
      </c>
      <c r="F3" s="58">
        <v>0.08</v>
      </c>
      <c r="G3" s="57">
        <f>E3*(1-F3)</f>
        <v>4.186</v>
      </c>
      <c r="H3" s="60">
        <v>24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2.75">
      <c r="A4" s="1">
        <v>2</v>
      </c>
      <c r="B4" s="1" t="s">
        <v>19</v>
      </c>
      <c r="C4" s="61">
        <v>24</v>
      </c>
      <c r="D4" s="58">
        <v>0.35</v>
      </c>
      <c r="E4" s="59">
        <f>C4*(1-D4)</f>
        <v>15.600000000000001</v>
      </c>
      <c r="F4" s="58">
        <v>0.08</v>
      </c>
      <c r="G4" s="57">
        <f>E4*(1-F4)</f>
        <v>14.352000000000002</v>
      </c>
      <c r="H4" s="62">
        <v>8</v>
      </c>
      <c r="I4" s="22"/>
      <c r="J4" s="22"/>
      <c r="K4" s="22"/>
      <c r="L4" s="22"/>
      <c r="M4" s="22"/>
      <c r="N4" s="22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10"/>
      <c r="AC4" s="10"/>
      <c r="AD4" s="10"/>
      <c r="AE4" s="10"/>
      <c r="AF4" s="10"/>
      <c r="AG4" s="10"/>
    </row>
    <row r="5" spans="1:33" ht="12.75">
      <c r="A5" s="1">
        <v>3</v>
      </c>
      <c r="B5" s="1" t="s">
        <v>15</v>
      </c>
      <c r="C5" s="57">
        <v>7</v>
      </c>
      <c r="D5" s="58">
        <v>0.35</v>
      </c>
      <c r="E5" s="59">
        <f>C5*(1-D5)</f>
        <v>4.55</v>
      </c>
      <c r="F5" s="58">
        <v>0.08</v>
      </c>
      <c r="G5" s="57">
        <f>E5*(1-F5)</f>
        <v>4.186</v>
      </c>
      <c r="H5" s="60">
        <v>16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2.75">
      <c r="A6" s="1">
        <v>4</v>
      </c>
      <c r="B6" s="1" t="s">
        <v>16</v>
      </c>
      <c r="C6" s="61">
        <v>24</v>
      </c>
      <c r="D6" s="58">
        <v>0.35</v>
      </c>
      <c r="E6" s="59">
        <f>C6*(1-D6)</f>
        <v>15.600000000000001</v>
      </c>
      <c r="F6" s="58">
        <v>0.08</v>
      </c>
      <c r="G6" s="57">
        <f>E6*(1-F6)</f>
        <v>14.352000000000002</v>
      </c>
      <c r="H6" s="62">
        <v>4</v>
      </c>
      <c r="I6" s="22"/>
      <c r="J6" s="22"/>
      <c r="K6" s="22"/>
      <c r="L6" s="22"/>
      <c r="M6" s="22"/>
      <c r="N6" s="2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22"/>
      <c r="AC6" s="10"/>
      <c r="AD6" s="17"/>
      <c r="AE6" s="10"/>
      <c r="AF6" s="10"/>
      <c r="AG6" s="10"/>
    </row>
    <row r="7" spans="2:33" ht="12.75">
      <c r="B7" s="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17"/>
      <c r="AC7" s="39"/>
      <c r="AD7" s="17"/>
      <c r="AE7" s="10"/>
      <c r="AF7" s="10"/>
      <c r="AG7" s="10"/>
    </row>
    <row r="8" spans="2:30" ht="12.75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  <c r="AC8" s="16"/>
      <c r="AD8" s="17"/>
    </row>
    <row r="9" spans="2:30" ht="15.75">
      <c r="B9" s="2"/>
      <c r="C9" s="37" t="s">
        <v>0</v>
      </c>
      <c r="D9" s="37" t="s">
        <v>10</v>
      </c>
      <c r="E9" s="37" t="s">
        <v>11</v>
      </c>
      <c r="I9" s="37" t="s">
        <v>12</v>
      </c>
      <c r="P9" s="37" t="s">
        <v>31</v>
      </c>
      <c r="AC9" s="99" t="s">
        <v>13</v>
      </c>
      <c r="AD9" s="99" t="s">
        <v>47</v>
      </c>
    </row>
    <row r="10" spans="2:31" ht="15.75">
      <c r="B10" s="3"/>
      <c r="F10" s="5"/>
      <c r="G10" s="5"/>
      <c r="H10" s="5"/>
      <c r="J10" s="5"/>
      <c r="K10" s="5"/>
      <c r="L10" s="5"/>
      <c r="M10" s="5"/>
      <c r="N10" s="5"/>
      <c r="O10" s="5" t="s">
        <v>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00" t="s">
        <v>2</v>
      </c>
      <c r="AC10" s="100" t="s">
        <v>3</v>
      </c>
      <c r="AD10" s="100" t="s">
        <v>4</v>
      </c>
      <c r="AE10" s="100" t="s">
        <v>8</v>
      </c>
    </row>
    <row r="11" spans="1:31" ht="15">
      <c r="A11" s="18" t="s">
        <v>32</v>
      </c>
      <c r="B11" s="1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0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50"/>
      <c r="AC11" s="19"/>
      <c r="AD11" s="19"/>
      <c r="AE11" s="20"/>
    </row>
    <row r="12" spans="1:31" ht="15">
      <c r="A12" s="21"/>
      <c r="B12" s="22" t="s">
        <v>24</v>
      </c>
      <c r="C12" s="40">
        <v>0</v>
      </c>
      <c r="D12" s="40">
        <v>1</v>
      </c>
      <c r="E12" s="40">
        <v>15</v>
      </c>
      <c r="F12" s="40">
        <f>E12+10</f>
        <v>25</v>
      </c>
      <c r="G12" s="40">
        <f>F12+10</f>
        <v>35</v>
      </c>
      <c r="H12" s="40">
        <f>G12+10</f>
        <v>45</v>
      </c>
      <c r="I12" s="40">
        <f aca="true" t="shared" si="0" ref="I12:N12">H12+25</f>
        <v>70</v>
      </c>
      <c r="J12" s="40">
        <f t="shared" si="0"/>
        <v>95</v>
      </c>
      <c r="K12" s="40">
        <f t="shared" si="0"/>
        <v>120</v>
      </c>
      <c r="L12" s="40">
        <f t="shared" si="0"/>
        <v>145</v>
      </c>
      <c r="M12" s="40">
        <f t="shared" si="0"/>
        <v>170</v>
      </c>
      <c r="N12" s="40">
        <f t="shared" si="0"/>
        <v>195</v>
      </c>
      <c r="O12" s="51">
        <v>195</v>
      </c>
      <c r="P12" s="40">
        <f>N12+50</f>
        <v>245</v>
      </c>
      <c r="Q12" s="40">
        <f aca="true" t="shared" si="1" ref="Q12:AA12">O12+50</f>
        <v>245</v>
      </c>
      <c r="R12" s="40">
        <f t="shared" si="1"/>
        <v>295</v>
      </c>
      <c r="S12" s="40">
        <f t="shared" si="1"/>
        <v>295</v>
      </c>
      <c r="T12" s="40">
        <f t="shared" si="1"/>
        <v>345</v>
      </c>
      <c r="U12" s="40">
        <f t="shared" si="1"/>
        <v>345</v>
      </c>
      <c r="V12" s="40">
        <f t="shared" si="1"/>
        <v>395</v>
      </c>
      <c r="W12" s="40">
        <f t="shared" si="1"/>
        <v>395</v>
      </c>
      <c r="X12" s="40">
        <f t="shared" si="1"/>
        <v>445</v>
      </c>
      <c r="Y12" s="40">
        <f t="shared" si="1"/>
        <v>445</v>
      </c>
      <c r="Z12" s="40">
        <f t="shared" si="1"/>
        <v>495</v>
      </c>
      <c r="AA12" s="40">
        <f t="shared" si="1"/>
        <v>495</v>
      </c>
      <c r="AB12" s="51">
        <v>495</v>
      </c>
      <c r="AC12" s="40">
        <v>600</v>
      </c>
      <c r="AD12" s="40">
        <v>800</v>
      </c>
      <c r="AE12" s="41">
        <v>1000</v>
      </c>
    </row>
    <row r="13" spans="1:31" ht="15">
      <c r="A13" s="21"/>
      <c r="B13" s="22" t="s">
        <v>26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51">
        <v>0</v>
      </c>
      <c r="P13" s="40">
        <v>200</v>
      </c>
      <c r="Q13" s="40">
        <v>200</v>
      </c>
      <c r="R13" s="40">
        <v>200</v>
      </c>
      <c r="S13" s="40">
        <v>200</v>
      </c>
      <c r="T13" s="40">
        <v>200</v>
      </c>
      <c r="U13" s="40">
        <v>200</v>
      </c>
      <c r="V13" s="40">
        <v>1000</v>
      </c>
      <c r="W13" s="40">
        <v>1000</v>
      </c>
      <c r="X13" s="40">
        <v>1000</v>
      </c>
      <c r="Y13" s="40">
        <v>1000</v>
      </c>
      <c r="Z13" s="40">
        <v>1000</v>
      </c>
      <c r="AA13" s="40">
        <v>1000</v>
      </c>
      <c r="AB13" s="51">
        <v>1000</v>
      </c>
      <c r="AC13" s="40">
        <v>1200</v>
      </c>
      <c r="AD13" s="40">
        <v>1400</v>
      </c>
      <c r="AE13" s="41">
        <v>1600</v>
      </c>
    </row>
    <row r="14" spans="1:31" ht="15">
      <c r="A14" s="21"/>
      <c r="B14" s="22" t="s">
        <v>27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51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51">
        <v>0</v>
      </c>
      <c r="AC14" s="40">
        <v>500</v>
      </c>
      <c r="AD14" s="40">
        <v>900</v>
      </c>
      <c r="AE14" s="41">
        <v>1100</v>
      </c>
    </row>
    <row r="15" spans="1:31" ht="15">
      <c r="A15" s="21"/>
      <c r="B15" s="22" t="s">
        <v>25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52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52">
        <v>0</v>
      </c>
      <c r="AC15" s="44">
        <v>0</v>
      </c>
      <c r="AD15" s="44">
        <v>200</v>
      </c>
      <c r="AE15" s="45">
        <v>250</v>
      </c>
    </row>
    <row r="16" spans="1:31" ht="15">
      <c r="A16" s="21"/>
      <c r="B16" s="43" t="s">
        <v>28</v>
      </c>
      <c r="C16" s="40">
        <f>SUM(C12:C15)</f>
        <v>0</v>
      </c>
      <c r="D16" s="40">
        <f aca="true" t="shared" si="2" ref="D16:N16">SUM(D12:D15)</f>
        <v>1</v>
      </c>
      <c r="E16" s="40">
        <f t="shared" si="2"/>
        <v>15</v>
      </c>
      <c r="F16" s="40">
        <f t="shared" si="2"/>
        <v>25</v>
      </c>
      <c r="G16" s="40">
        <f t="shared" si="2"/>
        <v>35</v>
      </c>
      <c r="H16" s="40">
        <f t="shared" si="2"/>
        <v>45</v>
      </c>
      <c r="I16" s="40">
        <f t="shared" si="2"/>
        <v>70</v>
      </c>
      <c r="J16" s="40">
        <f t="shared" si="2"/>
        <v>95</v>
      </c>
      <c r="K16" s="40">
        <f t="shared" si="2"/>
        <v>120</v>
      </c>
      <c r="L16" s="40">
        <f t="shared" si="2"/>
        <v>145</v>
      </c>
      <c r="M16" s="40">
        <f t="shared" si="2"/>
        <v>170</v>
      </c>
      <c r="N16" s="40">
        <f t="shared" si="2"/>
        <v>195</v>
      </c>
      <c r="O16" s="51">
        <f>SUM(O12:O15)</f>
        <v>195</v>
      </c>
      <c r="P16" s="40">
        <f aca="true" t="shared" si="3" ref="P16:AE16">SUM(P12:P15)</f>
        <v>445</v>
      </c>
      <c r="Q16" s="40">
        <f t="shared" si="3"/>
        <v>445</v>
      </c>
      <c r="R16" s="40">
        <f t="shared" si="3"/>
        <v>495</v>
      </c>
      <c r="S16" s="40">
        <f t="shared" si="3"/>
        <v>495</v>
      </c>
      <c r="T16" s="40">
        <f t="shared" si="3"/>
        <v>545</v>
      </c>
      <c r="U16" s="40">
        <f t="shared" si="3"/>
        <v>545</v>
      </c>
      <c r="V16" s="40">
        <f t="shared" si="3"/>
        <v>1395</v>
      </c>
      <c r="W16" s="40">
        <f t="shared" si="3"/>
        <v>1395</v>
      </c>
      <c r="X16" s="40">
        <f t="shared" si="3"/>
        <v>1445</v>
      </c>
      <c r="Y16" s="40">
        <f t="shared" si="3"/>
        <v>1445</v>
      </c>
      <c r="Z16" s="40">
        <f t="shared" si="3"/>
        <v>1495</v>
      </c>
      <c r="AA16" s="40">
        <f t="shared" si="3"/>
        <v>1495</v>
      </c>
      <c r="AB16" s="51">
        <f t="shared" si="3"/>
        <v>1495</v>
      </c>
      <c r="AC16" s="40">
        <f t="shared" si="3"/>
        <v>2300</v>
      </c>
      <c r="AD16" s="40">
        <f t="shared" si="3"/>
        <v>3300</v>
      </c>
      <c r="AE16" s="41">
        <f t="shared" si="3"/>
        <v>3950</v>
      </c>
    </row>
    <row r="17" spans="1:31" ht="15">
      <c r="A17" s="21"/>
      <c r="B17" s="4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51"/>
      <c r="AC17" s="40"/>
      <c r="AD17" s="40"/>
      <c r="AE17" s="41"/>
    </row>
    <row r="18" spans="1:33" ht="15">
      <c r="A18" s="21"/>
      <c r="B18" s="10" t="s">
        <v>20</v>
      </c>
      <c r="C18" s="40"/>
      <c r="D18" s="40">
        <f>$G3*$H3*D$16</f>
        <v>100.464</v>
      </c>
      <c r="E18" s="40">
        <f aca="true" t="shared" si="4" ref="E18:N18">$G3*$H3*E$16</f>
        <v>1506.96</v>
      </c>
      <c r="F18" s="40">
        <f t="shared" si="4"/>
        <v>2511.6</v>
      </c>
      <c r="G18" s="40">
        <f t="shared" si="4"/>
        <v>3516.24</v>
      </c>
      <c r="H18" s="40">
        <f t="shared" si="4"/>
        <v>4520.88</v>
      </c>
      <c r="I18" s="40">
        <f t="shared" si="4"/>
        <v>7032.48</v>
      </c>
      <c r="J18" s="40">
        <f t="shared" si="4"/>
        <v>9544.08</v>
      </c>
      <c r="K18" s="40">
        <f t="shared" si="4"/>
        <v>12055.68</v>
      </c>
      <c r="L18" s="40">
        <f t="shared" si="4"/>
        <v>14567.28</v>
      </c>
      <c r="M18" s="40">
        <f t="shared" si="4"/>
        <v>17078.88</v>
      </c>
      <c r="N18" s="40">
        <f t="shared" si="4"/>
        <v>19590.48</v>
      </c>
      <c r="O18" s="51">
        <f>SUM(C18:N18)</f>
        <v>92025.02399999999</v>
      </c>
      <c r="P18" s="40">
        <f aca="true" t="shared" si="5" ref="P18:AA18">$G3*$H3*P$16</f>
        <v>44706.479999999996</v>
      </c>
      <c r="Q18" s="40">
        <f t="shared" si="5"/>
        <v>44706.479999999996</v>
      </c>
      <c r="R18" s="40">
        <f t="shared" si="5"/>
        <v>49729.68</v>
      </c>
      <c r="S18" s="40">
        <f t="shared" si="5"/>
        <v>49729.68</v>
      </c>
      <c r="T18" s="40">
        <f t="shared" si="5"/>
        <v>54752.88</v>
      </c>
      <c r="U18" s="40">
        <f t="shared" si="5"/>
        <v>54752.88</v>
      </c>
      <c r="V18" s="40">
        <f t="shared" si="5"/>
        <v>140147.28</v>
      </c>
      <c r="W18" s="40">
        <f t="shared" si="5"/>
        <v>140147.28</v>
      </c>
      <c r="X18" s="40">
        <f t="shared" si="5"/>
        <v>145170.48</v>
      </c>
      <c r="Y18" s="40">
        <f t="shared" si="5"/>
        <v>145170.48</v>
      </c>
      <c r="Z18" s="40">
        <f t="shared" si="5"/>
        <v>150193.68</v>
      </c>
      <c r="AA18" s="40">
        <f t="shared" si="5"/>
        <v>150193.68</v>
      </c>
      <c r="AB18" s="51">
        <f>SUM(P18:AA18)</f>
        <v>1169400.96</v>
      </c>
      <c r="AC18" s="40">
        <f aca="true" t="shared" si="6" ref="AC18:AE21">($G3*$H3*AC$16)*12</f>
        <v>2772806.4</v>
      </c>
      <c r="AD18" s="40">
        <f t="shared" si="6"/>
        <v>3978374.4000000004</v>
      </c>
      <c r="AE18" s="41">
        <f t="shared" si="6"/>
        <v>4761993.6</v>
      </c>
      <c r="AF18" s="42"/>
      <c r="AG18" s="42"/>
    </row>
    <row r="19" spans="1:33" ht="15">
      <c r="A19" s="21"/>
      <c r="B19" s="22" t="s">
        <v>21</v>
      </c>
      <c r="C19" s="40"/>
      <c r="D19" s="40">
        <f aca="true" t="shared" si="7" ref="D19:N21">$G4*$H4*D$16</f>
        <v>114.81600000000002</v>
      </c>
      <c r="E19" s="40">
        <f t="shared" si="7"/>
        <v>1722.2400000000002</v>
      </c>
      <c r="F19" s="40">
        <f t="shared" si="7"/>
        <v>2870.4000000000005</v>
      </c>
      <c r="G19" s="40">
        <f t="shared" si="7"/>
        <v>4018.5600000000004</v>
      </c>
      <c r="H19" s="40">
        <f t="shared" si="7"/>
        <v>5166.720000000001</v>
      </c>
      <c r="I19" s="40">
        <f t="shared" si="7"/>
        <v>8037.120000000001</v>
      </c>
      <c r="J19" s="40">
        <f t="shared" si="7"/>
        <v>10907.520000000002</v>
      </c>
      <c r="K19" s="40">
        <f t="shared" si="7"/>
        <v>13777.920000000002</v>
      </c>
      <c r="L19" s="40">
        <f t="shared" si="7"/>
        <v>16648.320000000003</v>
      </c>
      <c r="M19" s="40">
        <f t="shared" si="7"/>
        <v>19518.72</v>
      </c>
      <c r="N19" s="40">
        <f t="shared" si="7"/>
        <v>22389.120000000003</v>
      </c>
      <c r="O19" s="51">
        <f>SUM(C19:N19)</f>
        <v>105171.456</v>
      </c>
      <c r="P19" s="40">
        <f aca="true" t="shared" si="8" ref="P19:AA19">$G4*$H4*P$16</f>
        <v>51093.12000000001</v>
      </c>
      <c r="Q19" s="40">
        <f t="shared" si="8"/>
        <v>51093.12000000001</v>
      </c>
      <c r="R19" s="40">
        <f t="shared" si="8"/>
        <v>56833.920000000006</v>
      </c>
      <c r="S19" s="40">
        <f t="shared" si="8"/>
        <v>56833.920000000006</v>
      </c>
      <c r="T19" s="40">
        <f t="shared" si="8"/>
        <v>62574.72000000001</v>
      </c>
      <c r="U19" s="40">
        <f t="shared" si="8"/>
        <v>62574.72000000001</v>
      </c>
      <c r="V19" s="40">
        <f t="shared" si="8"/>
        <v>160168.32000000004</v>
      </c>
      <c r="W19" s="40">
        <f t="shared" si="8"/>
        <v>160168.32000000004</v>
      </c>
      <c r="X19" s="40">
        <f t="shared" si="8"/>
        <v>165909.12000000002</v>
      </c>
      <c r="Y19" s="40">
        <f t="shared" si="8"/>
        <v>165909.12000000002</v>
      </c>
      <c r="Z19" s="40">
        <f t="shared" si="8"/>
        <v>171649.92</v>
      </c>
      <c r="AA19" s="40">
        <f t="shared" si="8"/>
        <v>171649.92</v>
      </c>
      <c r="AB19" s="51">
        <f>SUM(P19:AA19)</f>
        <v>1336458.24</v>
      </c>
      <c r="AC19" s="40">
        <f t="shared" si="6"/>
        <v>3168921.6000000006</v>
      </c>
      <c r="AD19" s="40">
        <f t="shared" si="6"/>
        <v>4546713.600000001</v>
      </c>
      <c r="AE19" s="41">
        <f t="shared" si="6"/>
        <v>5442278.4</v>
      </c>
      <c r="AF19" s="42"/>
      <c r="AG19" s="42"/>
    </row>
    <row r="20" spans="1:33" ht="15">
      <c r="A20" s="21"/>
      <c r="B20" s="22" t="s">
        <v>22</v>
      </c>
      <c r="C20" s="40"/>
      <c r="D20" s="40">
        <f t="shared" si="7"/>
        <v>66.976</v>
      </c>
      <c r="E20" s="40">
        <f t="shared" si="7"/>
        <v>1004.64</v>
      </c>
      <c r="F20" s="40">
        <f t="shared" si="7"/>
        <v>1674.4</v>
      </c>
      <c r="G20" s="40">
        <f t="shared" si="7"/>
        <v>2344.16</v>
      </c>
      <c r="H20" s="40">
        <f t="shared" si="7"/>
        <v>3013.92</v>
      </c>
      <c r="I20" s="40">
        <f t="shared" si="7"/>
        <v>4688.32</v>
      </c>
      <c r="J20" s="40">
        <f t="shared" si="7"/>
        <v>6362.72</v>
      </c>
      <c r="K20" s="40">
        <f t="shared" si="7"/>
        <v>8037.12</v>
      </c>
      <c r="L20" s="40">
        <f t="shared" si="7"/>
        <v>9711.52</v>
      </c>
      <c r="M20" s="40">
        <f t="shared" si="7"/>
        <v>11385.92</v>
      </c>
      <c r="N20" s="40">
        <f t="shared" si="7"/>
        <v>13060.32</v>
      </c>
      <c r="O20" s="51">
        <f>SUM(C20:N20)</f>
        <v>61350.015999999996</v>
      </c>
      <c r="P20" s="40">
        <f aca="true" t="shared" si="9" ref="P20:AA20">$G5*$H5*P$16</f>
        <v>29804.32</v>
      </c>
      <c r="Q20" s="40">
        <f t="shared" si="9"/>
        <v>29804.32</v>
      </c>
      <c r="R20" s="40">
        <f t="shared" si="9"/>
        <v>33153.12</v>
      </c>
      <c r="S20" s="40">
        <f t="shared" si="9"/>
        <v>33153.12</v>
      </c>
      <c r="T20" s="40">
        <f t="shared" si="9"/>
        <v>36501.92</v>
      </c>
      <c r="U20" s="40">
        <f t="shared" si="9"/>
        <v>36501.92</v>
      </c>
      <c r="V20" s="40">
        <f t="shared" si="9"/>
        <v>93431.52</v>
      </c>
      <c r="W20" s="40">
        <f t="shared" si="9"/>
        <v>93431.52</v>
      </c>
      <c r="X20" s="40">
        <f t="shared" si="9"/>
        <v>96780.31999999999</v>
      </c>
      <c r="Y20" s="40">
        <f t="shared" si="9"/>
        <v>96780.31999999999</v>
      </c>
      <c r="Z20" s="40">
        <f t="shared" si="9"/>
        <v>100129.12</v>
      </c>
      <c r="AA20" s="40">
        <f t="shared" si="9"/>
        <v>100129.12</v>
      </c>
      <c r="AB20" s="51">
        <f>SUM(P20:AA20)</f>
        <v>779600.64</v>
      </c>
      <c r="AC20" s="40">
        <f t="shared" si="6"/>
        <v>1848537.5999999999</v>
      </c>
      <c r="AD20" s="40">
        <f t="shared" si="6"/>
        <v>2652249.5999999996</v>
      </c>
      <c r="AE20" s="41">
        <f t="shared" si="6"/>
        <v>3174662.4000000004</v>
      </c>
      <c r="AF20" s="42"/>
      <c r="AG20" s="42"/>
    </row>
    <row r="21" spans="1:33" ht="15">
      <c r="A21" s="21"/>
      <c r="B21" s="22" t="s">
        <v>23</v>
      </c>
      <c r="C21" s="44"/>
      <c r="D21" s="44">
        <f t="shared" si="7"/>
        <v>57.40800000000001</v>
      </c>
      <c r="E21" s="44">
        <f t="shared" si="7"/>
        <v>861.1200000000001</v>
      </c>
      <c r="F21" s="44">
        <f t="shared" si="7"/>
        <v>1435.2000000000003</v>
      </c>
      <c r="G21" s="44">
        <f t="shared" si="7"/>
        <v>2009.2800000000002</v>
      </c>
      <c r="H21" s="44">
        <f t="shared" si="7"/>
        <v>2583.3600000000006</v>
      </c>
      <c r="I21" s="44">
        <f t="shared" si="7"/>
        <v>4018.5600000000004</v>
      </c>
      <c r="J21" s="44">
        <f t="shared" si="7"/>
        <v>5453.760000000001</v>
      </c>
      <c r="K21" s="44">
        <f t="shared" si="7"/>
        <v>6888.960000000001</v>
      </c>
      <c r="L21" s="44">
        <f t="shared" si="7"/>
        <v>8324.160000000002</v>
      </c>
      <c r="M21" s="44">
        <f t="shared" si="7"/>
        <v>9759.36</v>
      </c>
      <c r="N21" s="44">
        <f t="shared" si="7"/>
        <v>11194.560000000001</v>
      </c>
      <c r="O21" s="52">
        <f>SUM(C21:N21)</f>
        <v>52585.728</v>
      </c>
      <c r="P21" s="44">
        <f aca="true" t="shared" si="10" ref="P21:AA21">$G6*$H6*P$16</f>
        <v>25546.560000000005</v>
      </c>
      <c r="Q21" s="44">
        <f t="shared" si="10"/>
        <v>25546.560000000005</v>
      </c>
      <c r="R21" s="44">
        <f t="shared" si="10"/>
        <v>28416.960000000003</v>
      </c>
      <c r="S21" s="44">
        <f t="shared" si="10"/>
        <v>28416.960000000003</v>
      </c>
      <c r="T21" s="44">
        <f t="shared" si="10"/>
        <v>31287.360000000004</v>
      </c>
      <c r="U21" s="44">
        <f t="shared" si="10"/>
        <v>31287.360000000004</v>
      </c>
      <c r="V21" s="44">
        <f t="shared" si="10"/>
        <v>80084.16000000002</v>
      </c>
      <c r="W21" s="44">
        <f t="shared" si="10"/>
        <v>80084.16000000002</v>
      </c>
      <c r="X21" s="44">
        <f t="shared" si="10"/>
        <v>82954.56000000001</v>
      </c>
      <c r="Y21" s="44">
        <f t="shared" si="10"/>
        <v>82954.56000000001</v>
      </c>
      <c r="Z21" s="44">
        <f t="shared" si="10"/>
        <v>85824.96</v>
      </c>
      <c r="AA21" s="44">
        <f t="shared" si="10"/>
        <v>85824.96</v>
      </c>
      <c r="AB21" s="52">
        <f>SUM(P21:AA21)</f>
        <v>668229.12</v>
      </c>
      <c r="AC21" s="53">
        <f t="shared" si="6"/>
        <v>1584460.8000000003</v>
      </c>
      <c r="AD21" s="44">
        <f t="shared" si="6"/>
        <v>2273356.8000000003</v>
      </c>
      <c r="AE21" s="45">
        <f t="shared" si="6"/>
        <v>2721139.2</v>
      </c>
      <c r="AF21" s="42"/>
      <c r="AG21" s="42"/>
    </row>
    <row r="22" spans="1:33" ht="15">
      <c r="A22" s="21"/>
      <c r="B22" s="43" t="s">
        <v>29</v>
      </c>
      <c r="C22" s="40"/>
      <c r="D22" s="40">
        <f>SUM(D18:D21)</f>
        <v>339.66400000000004</v>
      </c>
      <c r="E22" s="40">
        <f aca="true" t="shared" si="11" ref="E22:AE22">SUM(E18:E21)</f>
        <v>5094.96</v>
      </c>
      <c r="F22" s="40">
        <f t="shared" si="11"/>
        <v>8491.6</v>
      </c>
      <c r="G22" s="40">
        <f t="shared" si="11"/>
        <v>11888.24</v>
      </c>
      <c r="H22" s="40">
        <f t="shared" si="11"/>
        <v>15284.880000000003</v>
      </c>
      <c r="I22" s="40">
        <f t="shared" si="11"/>
        <v>23776.48</v>
      </c>
      <c r="J22" s="40">
        <f t="shared" si="11"/>
        <v>32268.080000000005</v>
      </c>
      <c r="K22" s="40">
        <f t="shared" si="11"/>
        <v>40759.68</v>
      </c>
      <c r="L22" s="40">
        <f t="shared" si="11"/>
        <v>49251.28000000001</v>
      </c>
      <c r="M22" s="40">
        <f t="shared" si="11"/>
        <v>57742.880000000005</v>
      </c>
      <c r="N22" s="40">
        <f t="shared" si="11"/>
        <v>66234.48000000001</v>
      </c>
      <c r="O22" s="51">
        <f>SUM(C22:N22)</f>
        <v>311132.22400000005</v>
      </c>
      <c r="P22" s="40">
        <f t="shared" si="11"/>
        <v>151150.48</v>
      </c>
      <c r="Q22" s="40">
        <f t="shared" si="11"/>
        <v>151150.48</v>
      </c>
      <c r="R22" s="40">
        <f t="shared" si="11"/>
        <v>168133.68</v>
      </c>
      <c r="S22" s="40">
        <f t="shared" si="11"/>
        <v>168133.68</v>
      </c>
      <c r="T22" s="40">
        <f t="shared" si="11"/>
        <v>185116.88000000003</v>
      </c>
      <c r="U22" s="40">
        <f t="shared" si="11"/>
        <v>185116.88000000003</v>
      </c>
      <c r="V22" s="40">
        <f t="shared" si="11"/>
        <v>473831.2800000001</v>
      </c>
      <c r="W22" s="40">
        <f t="shared" si="11"/>
        <v>473831.2800000001</v>
      </c>
      <c r="X22" s="40">
        <f t="shared" si="11"/>
        <v>490814.48000000004</v>
      </c>
      <c r="Y22" s="40">
        <f t="shared" si="11"/>
        <v>490814.48000000004</v>
      </c>
      <c r="Z22" s="40">
        <f t="shared" si="11"/>
        <v>507797.68</v>
      </c>
      <c r="AA22" s="40">
        <f t="shared" si="11"/>
        <v>507797.68</v>
      </c>
      <c r="AB22" s="51">
        <f t="shared" si="11"/>
        <v>3953688.9600000004</v>
      </c>
      <c r="AC22" s="40">
        <f t="shared" si="11"/>
        <v>9374726.4</v>
      </c>
      <c r="AD22" s="40">
        <f t="shared" si="11"/>
        <v>13450694.4</v>
      </c>
      <c r="AE22" s="41">
        <f t="shared" si="11"/>
        <v>16100073.600000001</v>
      </c>
      <c r="AF22" s="42"/>
      <c r="AG22" s="42"/>
    </row>
    <row r="23" spans="1:33" ht="15">
      <c r="A23" s="24"/>
      <c r="B23" s="46" t="s">
        <v>30</v>
      </c>
      <c r="C23" s="44"/>
      <c r="D23" s="48">
        <f aca="true" t="shared" si="12" ref="D23:AE23">D$12*$H$3+D$12*$H$4+D$12*$H$5+D$12*$H$6</f>
        <v>52</v>
      </c>
      <c r="E23" s="48">
        <f t="shared" si="12"/>
        <v>780</v>
      </c>
      <c r="F23" s="48">
        <f t="shared" si="12"/>
        <v>1300</v>
      </c>
      <c r="G23" s="48">
        <f t="shared" si="12"/>
        <v>1820</v>
      </c>
      <c r="H23" s="48">
        <f t="shared" si="12"/>
        <v>2340</v>
      </c>
      <c r="I23" s="48">
        <f t="shared" si="12"/>
        <v>3640</v>
      </c>
      <c r="J23" s="48">
        <f t="shared" si="12"/>
        <v>4940</v>
      </c>
      <c r="K23" s="48">
        <f t="shared" si="12"/>
        <v>6240</v>
      </c>
      <c r="L23" s="48">
        <f t="shared" si="12"/>
        <v>7540</v>
      </c>
      <c r="M23" s="48">
        <f t="shared" si="12"/>
        <v>8840</v>
      </c>
      <c r="N23" s="48">
        <f t="shared" si="12"/>
        <v>10140</v>
      </c>
      <c r="O23" s="55">
        <f t="shared" si="12"/>
        <v>10140</v>
      </c>
      <c r="P23" s="48">
        <f t="shared" si="12"/>
        <v>12740</v>
      </c>
      <c r="Q23" s="48">
        <f t="shared" si="12"/>
        <v>12740</v>
      </c>
      <c r="R23" s="48">
        <f t="shared" si="12"/>
        <v>15340</v>
      </c>
      <c r="S23" s="48">
        <f t="shared" si="12"/>
        <v>15340</v>
      </c>
      <c r="T23" s="48">
        <f t="shared" si="12"/>
        <v>17940</v>
      </c>
      <c r="U23" s="48">
        <f t="shared" si="12"/>
        <v>17940</v>
      </c>
      <c r="V23" s="48">
        <f t="shared" si="12"/>
        <v>20540</v>
      </c>
      <c r="W23" s="48">
        <f t="shared" si="12"/>
        <v>20540</v>
      </c>
      <c r="X23" s="48">
        <f t="shared" si="12"/>
        <v>23140</v>
      </c>
      <c r="Y23" s="48">
        <f t="shared" si="12"/>
        <v>23140</v>
      </c>
      <c r="Z23" s="48">
        <f t="shared" si="12"/>
        <v>25740</v>
      </c>
      <c r="AA23" s="48">
        <f t="shared" si="12"/>
        <v>25740</v>
      </c>
      <c r="AB23" s="55">
        <f t="shared" si="12"/>
        <v>25740</v>
      </c>
      <c r="AC23" s="48">
        <f t="shared" si="12"/>
        <v>31200</v>
      </c>
      <c r="AD23" s="48">
        <f t="shared" si="12"/>
        <v>41600</v>
      </c>
      <c r="AE23" s="49">
        <f t="shared" si="12"/>
        <v>52000</v>
      </c>
      <c r="AF23" s="42"/>
      <c r="AG23" s="42"/>
    </row>
    <row r="24" spans="1:33" ht="15">
      <c r="A24" s="54"/>
      <c r="B24" s="43"/>
      <c r="C24" s="4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5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2"/>
      <c r="AG24" s="42"/>
    </row>
    <row r="25" spans="1:31" ht="15">
      <c r="A25" s="11"/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>
      <c r="A26" s="18" t="s">
        <v>5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6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67"/>
      <c r="AC26" s="90"/>
      <c r="AD26" s="27"/>
      <c r="AE26" s="28"/>
    </row>
    <row r="27" spans="1:31" ht="12.75">
      <c r="A27" s="13"/>
      <c r="B27" s="22" t="s">
        <v>6</v>
      </c>
      <c r="C27" s="69"/>
      <c r="D27" s="69">
        <f>SUM(D18:D21)</f>
        <v>339.66400000000004</v>
      </c>
      <c r="E27" s="69">
        <f aca="true" t="shared" si="13" ref="E27:AA27">SUM(E18:E21)</f>
        <v>5094.96</v>
      </c>
      <c r="F27" s="69">
        <f t="shared" si="13"/>
        <v>8491.6</v>
      </c>
      <c r="G27" s="69">
        <f t="shared" si="13"/>
        <v>11888.24</v>
      </c>
      <c r="H27" s="69">
        <f t="shared" si="13"/>
        <v>15284.880000000003</v>
      </c>
      <c r="I27" s="69">
        <f t="shared" si="13"/>
        <v>23776.48</v>
      </c>
      <c r="J27" s="69">
        <f t="shared" si="13"/>
        <v>32268.080000000005</v>
      </c>
      <c r="K27" s="69">
        <f t="shared" si="13"/>
        <v>40759.68</v>
      </c>
      <c r="L27" s="69">
        <f t="shared" si="13"/>
        <v>49251.28000000001</v>
      </c>
      <c r="M27" s="69">
        <f t="shared" si="13"/>
        <v>57742.880000000005</v>
      </c>
      <c r="N27" s="69">
        <f t="shared" si="13"/>
        <v>66234.48000000001</v>
      </c>
      <c r="O27" s="70">
        <f aca="true" t="shared" si="14" ref="O27:O32">SUM(D27:N27)</f>
        <v>311132.22400000005</v>
      </c>
      <c r="P27" s="69">
        <f t="shared" si="13"/>
        <v>151150.48</v>
      </c>
      <c r="Q27" s="69">
        <f t="shared" si="13"/>
        <v>151150.48</v>
      </c>
      <c r="R27" s="69">
        <f t="shared" si="13"/>
        <v>168133.68</v>
      </c>
      <c r="S27" s="69">
        <f t="shared" si="13"/>
        <v>168133.68</v>
      </c>
      <c r="T27" s="69">
        <f t="shared" si="13"/>
        <v>185116.88000000003</v>
      </c>
      <c r="U27" s="69">
        <f t="shared" si="13"/>
        <v>185116.88000000003</v>
      </c>
      <c r="V27" s="69">
        <f t="shared" si="13"/>
        <v>473831.2800000001</v>
      </c>
      <c r="W27" s="69">
        <f t="shared" si="13"/>
        <v>473831.2800000001</v>
      </c>
      <c r="X27" s="69">
        <f t="shared" si="13"/>
        <v>490814.48000000004</v>
      </c>
      <c r="Y27" s="69">
        <f t="shared" si="13"/>
        <v>490814.48000000004</v>
      </c>
      <c r="Z27" s="69">
        <f t="shared" si="13"/>
        <v>507797.68</v>
      </c>
      <c r="AA27" s="69">
        <f t="shared" si="13"/>
        <v>507797.68</v>
      </c>
      <c r="AB27" s="70">
        <f aca="true" t="shared" si="15" ref="AB27:AB32">SUM(P27:AA27)</f>
        <v>3953688.9600000004</v>
      </c>
      <c r="AC27" s="91">
        <f>SUM(AC18:AC21)</f>
        <v>9374726.4</v>
      </c>
      <c r="AD27" s="69">
        <f>SUM(AD18:AD21)</f>
        <v>13450694.4</v>
      </c>
      <c r="AE27" s="71">
        <f>SUM(AE18:AE21)</f>
        <v>16100073.600000001</v>
      </c>
    </row>
    <row r="28" spans="1:31" ht="12.75">
      <c r="A28" s="84">
        <v>0.35</v>
      </c>
      <c r="B28" s="22" t="s">
        <v>45</v>
      </c>
      <c r="C28" s="69"/>
      <c r="D28" s="69">
        <f>D$27*$A28</f>
        <v>118.8824</v>
      </c>
      <c r="E28" s="69">
        <f aca="true" t="shared" si="16" ref="E28:N31">E$27*$A28</f>
        <v>1783.2359999999999</v>
      </c>
      <c r="F28" s="69">
        <f t="shared" si="16"/>
        <v>2972.06</v>
      </c>
      <c r="G28" s="69">
        <f t="shared" si="16"/>
        <v>4160.884</v>
      </c>
      <c r="H28" s="69">
        <f t="shared" si="16"/>
        <v>5349.7080000000005</v>
      </c>
      <c r="I28" s="69">
        <f t="shared" si="16"/>
        <v>8321.768</v>
      </c>
      <c r="J28" s="69">
        <f t="shared" si="16"/>
        <v>11293.828000000001</v>
      </c>
      <c r="K28" s="69">
        <f t="shared" si="16"/>
        <v>14265.887999999999</v>
      </c>
      <c r="L28" s="69">
        <f t="shared" si="16"/>
        <v>17237.948000000004</v>
      </c>
      <c r="M28" s="69">
        <f t="shared" si="16"/>
        <v>20210.008</v>
      </c>
      <c r="N28" s="69">
        <f t="shared" si="16"/>
        <v>23182.068000000003</v>
      </c>
      <c r="O28" s="70">
        <f t="shared" si="14"/>
        <v>108896.27840000001</v>
      </c>
      <c r="P28" s="69">
        <f>P$27*($A28)</f>
        <v>52902.668</v>
      </c>
      <c r="Q28" s="69">
        <f aca="true" t="shared" si="17" ref="Q28:AA28">Q$27*($A28)</f>
        <v>52902.668</v>
      </c>
      <c r="R28" s="69">
        <f t="shared" si="17"/>
        <v>58846.78799999999</v>
      </c>
      <c r="S28" s="69">
        <f t="shared" si="17"/>
        <v>58846.78799999999</v>
      </c>
      <c r="T28" s="69">
        <f t="shared" si="17"/>
        <v>64790.90800000001</v>
      </c>
      <c r="U28" s="69">
        <f t="shared" si="17"/>
        <v>64790.90800000001</v>
      </c>
      <c r="V28" s="69">
        <f t="shared" si="17"/>
        <v>165840.94800000003</v>
      </c>
      <c r="W28" s="69">
        <f t="shared" si="17"/>
        <v>165840.94800000003</v>
      </c>
      <c r="X28" s="69">
        <f t="shared" si="17"/>
        <v>171785.068</v>
      </c>
      <c r="Y28" s="69">
        <f t="shared" si="17"/>
        <v>171785.068</v>
      </c>
      <c r="Z28" s="69">
        <f t="shared" si="17"/>
        <v>177729.188</v>
      </c>
      <c r="AA28" s="69">
        <f t="shared" si="17"/>
        <v>177729.188</v>
      </c>
      <c r="AB28" s="70">
        <f t="shared" si="15"/>
        <v>1383791.1360000002</v>
      </c>
      <c r="AC28" s="91">
        <f>AC$27*($A28-0.05)</f>
        <v>2812417.92</v>
      </c>
      <c r="AD28" s="69">
        <f>AD$27*($A28-0.06)</f>
        <v>3900701.3759999997</v>
      </c>
      <c r="AE28" s="71">
        <f>AE$27*($A28-0.07)</f>
        <v>4508020.608</v>
      </c>
    </row>
    <row r="29" spans="1:31" ht="12.75">
      <c r="A29" s="84">
        <v>0.1</v>
      </c>
      <c r="B29" s="22" t="s">
        <v>40</v>
      </c>
      <c r="C29" s="69"/>
      <c r="D29" s="69">
        <f>D$27*$A29</f>
        <v>33.96640000000001</v>
      </c>
      <c r="E29" s="69">
        <f t="shared" si="16"/>
        <v>509.49600000000004</v>
      </c>
      <c r="F29" s="69">
        <f t="shared" si="16"/>
        <v>849.1600000000001</v>
      </c>
      <c r="G29" s="69">
        <f t="shared" si="16"/>
        <v>1188.824</v>
      </c>
      <c r="H29" s="69">
        <f t="shared" si="16"/>
        <v>1528.4880000000003</v>
      </c>
      <c r="I29" s="69">
        <f t="shared" si="16"/>
        <v>2377.648</v>
      </c>
      <c r="J29" s="69">
        <f t="shared" si="16"/>
        <v>3226.808000000001</v>
      </c>
      <c r="K29" s="69">
        <f t="shared" si="16"/>
        <v>4075.9680000000003</v>
      </c>
      <c r="L29" s="69">
        <f t="shared" si="16"/>
        <v>4925.1280000000015</v>
      </c>
      <c r="M29" s="69">
        <f t="shared" si="16"/>
        <v>5774.2880000000005</v>
      </c>
      <c r="N29" s="69">
        <f t="shared" si="16"/>
        <v>6623.448000000001</v>
      </c>
      <c r="O29" s="70">
        <f t="shared" si="14"/>
        <v>31113.222400000002</v>
      </c>
      <c r="P29" s="69">
        <f aca="true" t="shared" si="18" ref="P29:AE31">P$27*$A29</f>
        <v>15115.048000000003</v>
      </c>
      <c r="Q29" s="69">
        <f t="shared" si="18"/>
        <v>15115.048000000003</v>
      </c>
      <c r="R29" s="69">
        <f t="shared" si="18"/>
        <v>16813.368</v>
      </c>
      <c r="S29" s="69">
        <f t="shared" si="18"/>
        <v>16813.368</v>
      </c>
      <c r="T29" s="69">
        <f t="shared" si="18"/>
        <v>18511.688000000006</v>
      </c>
      <c r="U29" s="69">
        <f t="shared" si="18"/>
        <v>18511.688000000006</v>
      </c>
      <c r="V29" s="69">
        <f t="shared" si="18"/>
        <v>47383.12800000001</v>
      </c>
      <c r="W29" s="69">
        <f t="shared" si="18"/>
        <v>47383.12800000001</v>
      </c>
      <c r="X29" s="69">
        <f t="shared" si="18"/>
        <v>49081.448000000004</v>
      </c>
      <c r="Y29" s="69">
        <f t="shared" si="18"/>
        <v>49081.448000000004</v>
      </c>
      <c r="Z29" s="69">
        <f t="shared" si="18"/>
        <v>50779.768000000004</v>
      </c>
      <c r="AA29" s="69">
        <f t="shared" si="18"/>
        <v>50779.768000000004</v>
      </c>
      <c r="AB29" s="70">
        <f t="shared" si="15"/>
        <v>395368.896</v>
      </c>
      <c r="AC29" s="91">
        <f t="shared" si="18"/>
        <v>937472.6400000001</v>
      </c>
      <c r="AD29" s="69">
        <f t="shared" si="18"/>
        <v>1345069.4400000002</v>
      </c>
      <c r="AE29" s="71">
        <f t="shared" si="18"/>
        <v>1610007.3600000003</v>
      </c>
    </row>
    <row r="30" spans="1:31" ht="12.75">
      <c r="A30" s="84">
        <v>0.05</v>
      </c>
      <c r="B30" s="22" t="s">
        <v>41</v>
      </c>
      <c r="C30" s="69"/>
      <c r="D30" s="69">
        <f>D$27*$A30</f>
        <v>16.983200000000004</v>
      </c>
      <c r="E30" s="69">
        <f t="shared" si="16"/>
        <v>254.74800000000002</v>
      </c>
      <c r="F30" s="69">
        <f t="shared" si="16"/>
        <v>424.58000000000004</v>
      </c>
      <c r="G30" s="69">
        <f t="shared" si="16"/>
        <v>594.412</v>
      </c>
      <c r="H30" s="69">
        <f t="shared" si="16"/>
        <v>764.2440000000001</v>
      </c>
      <c r="I30" s="69">
        <f t="shared" si="16"/>
        <v>1188.824</v>
      </c>
      <c r="J30" s="69">
        <f t="shared" si="16"/>
        <v>1613.4040000000005</v>
      </c>
      <c r="K30" s="69">
        <f t="shared" si="16"/>
        <v>2037.9840000000002</v>
      </c>
      <c r="L30" s="69">
        <f t="shared" si="16"/>
        <v>2462.5640000000008</v>
      </c>
      <c r="M30" s="69">
        <f t="shared" si="16"/>
        <v>2887.1440000000002</v>
      </c>
      <c r="N30" s="69">
        <f t="shared" si="16"/>
        <v>3311.7240000000006</v>
      </c>
      <c r="O30" s="70">
        <f t="shared" si="14"/>
        <v>15556.611200000001</v>
      </c>
      <c r="P30" s="69">
        <f t="shared" si="18"/>
        <v>7557.524000000001</v>
      </c>
      <c r="Q30" s="69">
        <f t="shared" si="18"/>
        <v>7557.524000000001</v>
      </c>
      <c r="R30" s="69">
        <f t="shared" si="18"/>
        <v>8406.684</v>
      </c>
      <c r="S30" s="69">
        <f t="shared" si="18"/>
        <v>8406.684</v>
      </c>
      <c r="T30" s="69">
        <f t="shared" si="18"/>
        <v>9255.844000000003</v>
      </c>
      <c r="U30" s="69">
        <f t="shared" si="18"/>
        <v>9255.844000000003</v>
      </c>
      <c r="V30" s="69">
        <f t="shared" si="18"/>
        <v>23691.564000000006</v>
      </c>
      <c r="W30" s="69">
        <f t="shared" si="18"/>
        <v>23691.564000000006</v>
      </c>
      <c r="X30" s="69">
        <f t="shared" si="18"/>
        <v>24540.724000000002</v>
      </c>
      <c r="Y30" s="69">
        <f t="shared" si="18"/>
        <v>24540.724000000002</v>
      </c>
      <c r="Z30" s="69">
        <f t="shared" si="18"/>
        <v>25389.884000000002</v>
      </c>
      <c r="AA30" s="69">
        <f t="shared" si="18"/>
        <v>25389.884000000002</v>
      </c>
      <c r="AB30" s="70">
        <f t="shared" si="15"/>
        <v>197684.448</v>
      </c>
      <c r="AC30" s="91">
        <f t="shared" si="18"/>
        <v>468736.32000000007</v>
      </c>
      <c r="AD30" s="69">
        <f t="shared" si="18"/>
        <v>672534.7200000001</v>
      </c>
      <c r="AE30" s="71">
        <f t="shared" si="18"/>
        <v>805003.6800000002</v>
      </c>
    </row>
    <row r="31" spans="1:32" ht="12.75">
      <c r="A31" s="84">
        <v>0.03</v>
      </c>
      <c r="B31" s="22" t="s">
        <v>42</v>
      </c>
      <c r="C31" s="69"/>
      <c r="D31" s="87">
        <f>D$27*$A31</f>
        <v>10.18992</v>
      </c>
      <c r="E31" s="87">
        <f t="shared" si="16"/>
        <v>152.84879999999998</v>
      </c>
      <c r="F31" s="87">
        <f t="shared" si="16"/>
        <v>254.748</v>
      </c>
      <c r="G31" s="87">
        <f t="shared" si="16"/>
        <v>356.6472</v>
      </c>
      <c r="H31" s="87">
        <f t="shared" si="16"/>
        <v>458.54640000000006</v>
      </c>
      <c r="I31" s="87">
        <f t="shared" si="16"/>
        <v>713.2944</v>
      </c>
      <c r="J31" s="87">
        <f t="shared" si="16"/>
        <v>968.0424000000002</v>
      </c>
      <c r="K31" s="87">
        <f t="shared" si="16"/>
        <v>1222.7903999999999</v>
      </c>
      <c r="L31" s="87">
        <f t="shared" si="16"/>
        <v>1477.5384000000004</v>
      </c>
      <c r="M31" s="87">
        <f t="shared" si="16"/>
        <v>1732.2864000000002</v>
      </c>
      <c r="N31" s="87">
        <f t="shared" si="16"/>
        <v>1987.0344000000002</v>
      </c>
      <c r="O31" s="88">
        <f t="shared" si="14"/>
        <v>9333.96672</v>
      </c>
      <c r="P31" s="87">
        <f t="shared" si="18"/>
        <v>4534.5144</v>
      </c>
      <c r="Q31" s="87">
        <f t="shared" si="18"/>
        <v>4534.5144</v>
      </c>
      <c r="R31" s="87">
        <f t="shared" si="18"/>
        <v>5044.010399999999</v>
      </c>
      <c r="S31" s="87">
        <f t="shared" si="18"/>
        <v>5044.010399999999</v>
      </c>
      <c r="T31" s="87">
        <f t="shared" si="18"/>
        <v>5553.506400000001</v>
      </c>
      <c r="U31" s="87">
        <f t="shared" si="18"/>
        <v>5553.506400000001</v>
      </c>
      <c r="V31" s="87">
        <f t="shared" si="18"/>
        <v>14214.938400000003</v>
      </c>
      <c r="W31" s="87">
        <f t="shared" si="18"/>
        <v>14214.938400000003</v>
      </c>
      <c r="X31" s="87">
        <f t="shared" si="18"/>
        <v>14724.4344</v>
      </c>
      <c r="Y31" s="87">
        <f t="shared" si="18"/>
        <v>14724.4344</v>
      </c>
      <c r="Z31" s="87">
        <f t="shared" si="18"/>
        <v>15233.9304</v>
      </c>
      <c r="AA31" s="87">
        <f t="shared" si="18"/>
        <v>15233.9304</v>
      </c>
      <c r="AB31" s="88">
        <f t="shared" si="15"/>
        <v>118610.6688</v>
      </c>
      <c r="AC31" s="92">
        <f t="shared" si="18"/>
        <v>281241.792</v>
      </c>
      <c r="AD31" s="87">
        <f t="shared" si="18"/>
        <v>403520.832</v>
      </c>
      <c r="AE31" s="89">
        <f t="shared" si="18"/>
        <v>483002.20800000004</v>
      </c>
      <c r="AF31" s="10"/>
    </row>
    <row r="32" spans="1:31" ht="12.75">
      <c r="A32" s="13"/>
      <c r="B32" s="43" t="s">
        <v>38</v>
      </c>
      <c r="C32" s="72"/>
      <c r="D32" s="69">
        <f>D27-D28-D29-D30-D31</f>
        <v>159.64208</v>
      </c>
      <c r="E32" s="69">
        <f aca="true" t="shared" si="19" ref="E32:N32">E27-E28-E29-E30-E31</f>
        <v>2394.6312</v>
      </c>
      <c r="F32" s="69">
        <f t="shared" si="19"/>
        <v>3991.052000000001</v>
      </c>
      <c r="G32" s="69">
        <f t="shared" si="19"/>
        <v>5587.472799999999</v>
      </c>
      <c r="H32" s="69">
        <f t="shared" si="19"/>
        <v>7183.8936</v>
      </c>
      <c r="I32" s="69">
        <f t="shared" si="19"/>
        <v>11174.945599999997</v>
      </c>
      <c r="J32" s="69">
        <f t="shared" si="19"/>
        <v>15165.997600000002</v>
      </c>
      <c r="K32" s="69">
        <f t="shared" si="19"/>
        <v>19157.0496</v>
      </c>
      <c r="L32" s="69">
        <f t="shared" si="19"/>
        <v>23148.101600000005</v>
      </c>
      <c r="M32" s="69">
        <f t="shared" si="19"/>
        <v>27139.1536</v>
      </c>
      <c r="N32" s="69">
        <f t="shared" si="19"/>
        <v>31130.205600000005</v>
      </c>
      <c r="O32" s="97">
        <f t="shared" si="14"/>
        <v>146232.14528000003</v>
      </c>
      <c r="P32" s="69">
        <f aca="true" t="shared" si="20" ref="P32:AA32">P27-P28-P29-P30-P31</f>
        <v>71040.72559999999</v>
      </c>
      <c r="Q32" s="69">
        <f t="shared" si="20"/>
        <v>71040.72559999999</v>
      </c>
      <c r="R32" s="69">
        <f t="shared" si="20"/>
        <v>79022.8296</v>
      </c>
      <c r="S32" s="69">
        <f t="shared" si="20"/>
        <v>79022.8296</v>
      </c>
      <c r="T32" s="69">
        <f t="shared" si="20"/>
        <v>87004.93360000002</v>
      </c>
      <c r="U32" s="69">
        <f t="shared" si="20"/>
        <v>87004.93360000002</v>
      </c>
      <c r="V32" s="69">
        <f t="shared" si="20"/>
        <v>222700.7016</v>
      </c>
      <c r="W32" s="69">
        <f t="shared" si="20"/>
        <v>222700.7016</v>
      </c>
      <c r="X32" s="69">
        <f t="shared" si="20"/>
        <v>230682.80560000005</v>
      </c>
      <c r="Y32" s="69">
        <f t="shared" si="20"/>
        <v>230682.80560000005</v>
      </c>
      <c r="Z32" s="69">
        <f t="shared" si="20"/>
        <v>238664.90959999998</v>
      </c>
      <c r="AA32" s="69">
        <f t="shared" si="20"/>
        <v>238664.90959999998</v>
      </c>
      <c r="AB32" s="70">
        <f t="shared" si="15"/>
        <v>1858233.8111999999</v>
      </c>
      <c r="AC32" s="91">
        <f>AC27-AC28-AC29-AC30-AC31</f>
        <v>4874857.727999999</v>
      </c>
      <c r="AD32" s="69">
        <f>AD27-AD28-AD29-AD30-AD31</f>
        <v>7128868.032</v>
      </c>
      <c r="AE32" s="71">
        <f>AE27-AE28-AE29-AE30-AE31</f>
        <v>8694039.744000003</v>
      </c>
    </row>
    <row r="33" spans="1:31" ht="12.75">
      <c r="A33" s="13"/>
      <c r="B33" s="43" t="s">
        <v>7</v>
      </c>
      <c r="C33" s="72"/>
      <c r="D33" s="85">
        <f>D32/D27</f>
        <v>0.4699999999999999</v>
      </c>
      <c r="E33" s="85">
        <f aca="true" t="shared" si="21" ref="E33:N33">E32/E27</f>
        <v>0.47</v>
      </c>
      <c r="F33" s="85">
        <f t="shared" si="21"/>
        <v>0.4700000000000001</v>
      </c>
      <c r="G33" s="85">
        <f t="shared" si="21"/>
        <v>0.4699999999999999</v>
      </c>
      <c r="H33" s="85">
        <f t="shared" si="21"/>
        <v>0.4699999999999999</v>
      </c>
      <c r="I33" s="85">
        <f t="shared" si="21"/>
        <v>0.4699999999999999</v>
      </c>
      <c r="J33" s="85">
        <f t="shared" si="21"/>
        <v>0.47</v>
      </c>
      <c r="K33" s="85">
        <f t="shared" si="21"/>
        <v>0.47</v>
      </c>
      <c r="L33" s="85">
        <f t="shared" si="21"/>
        <v>0.47</v>
      </c>
      <c r="M33" s="85">
        <f t="shared" si="21"/>
        <v>0.47</v>
      </c>
      <c r="N33" s="85">
        <f t="shared" si="21"/>
        <v>0.47</v>
      </c>
      <c r="O33" s="86">
        <f aca="true" t="shared" si="22" ref="O33:AE33">O32/O27</f>
        <v>0.47000000000000003</v>
      </c>
      <c r="P33" s="85">
        <f t="shared" si="22"/>
        <v>0.4699999999999999</v>
      </c>
      <c r="Q33" s="85">
        <f t="shared" si="22"/>
        <v>0.4699999999999999</v>
      </c>
      <c r="R33" s="85">
        <f t="shared" si="22"/>
        <v>0.47000000000000003</v>
      </c>
      <c r="S33" s="85">
        <f t="shared" si="22"/>
        <v>0.47000000000000003</v>
      </c>
      <c r="T33" s="85">
        <f t="shared" si="22"/>
        <v>0.47000000000000003</v>
      </c>
      <c r="U33" s="85">
        <f t="shared" si="22"/>
        <v>0.47000000000000003</v>
      </c>
      <c r="V33" s="85">
        <f t="shared" si="22"/>
        <v>0.4699999999999999</v>
      </c>
      <c r="W33" s="85">
        <f t="shared" si="22"/>
        <v>0.4699999999999999</v>
      </c>
      <c r="X33" s="85">
        <f t="shared" si="22"/>
        <v>0.4700000000000001</v>
      </c>
      <c r="Y33" s="85">
        <f t="shared" si="22"/>
        <v>0.4700000000000001</v>
      </c>
      <c r="Z33" s="85">
        <f t="shared" si="22"/>
        <v>0.47</v>
      </c>
      <c r="AA33" s="85">
        <f t="shared" si="22"/>
        <v>0.47</v>
      </c>
      <c r="AB33" s="86">
        <f t="shared" si="22"/>
        <v>0.4699999999999999</v>
      </c>
      <c r="AC33" s="93">
        <f t="shared" si="22"/>
        <v>0.5199999999999999</v>
      </c>
      <c r="AD33" s="85">
        <f t="shared" si="22"/>
        <v>0.5299999999999999</v>
      </c>
      <c r="AE33" s="94">
        <f t="shared" si="22"/>
        <v>0.5400000000000001</v>
      </c>
    </row>
    <row r="34" spans="1:31" ht="12.75">
      <c r="A34" s="13"/>
      <c r="B34" s="43"/>
      <c r="C34" s="72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9"/>
      <c r="AC34" s="95"/>
      <c r="AD34" s="77"/>
      <c r="AE34" s="78"/>
    </row>
    <row r="35" spans="1:31" ht="12.75">
      <c r="A35" s="13"/>
      <c r="B35" s="22" t="s">
        <v>39</v>
      </c>
      <c r="C35" s="69"/>
      <c r="D35" s="68">
        <v>1000</v>
      </c>
      <c r="E35" s="68">
        <v>5000</v>
      </c>
      <c r="F35" s="68">
        <v>5000</v>
      </c>
      <c r="G35" s="68">
        <v>5000</v>
      </c>
      <c r="H35" s="68">
        <v>5000</v>
      </c>
      <c r="I35" s="68">
        <v>7500</v>
      </c>
      <c r="J35" s="68">
        <v>7500</v>
      </c>
      <c r="K35" s="68">
        <v>7500</v>
      </c>
      <c r="L35" s="68">
        <v>7500</v>
      </c>
      <c r="M35" s="68">
        <v>7500</v>
      </c>
      <c r="N35" s="68">
        <v>7500</v>
      </c>
      <c r="O35" s="70">
        <f>SUM(D35:N35)</f>
        <v>66000</v>
      </c>
      <c r="P35" s="69">
        <v>15000</v>
      </c>
      <c r="Q35" s="69">
        <v>15000</v>
      </c>
      <c r="R35" s="69">
        <v>15000</v>
      </c>
      <c r="S35" s="69">
        <v>20000</v>
      </c>
      <c r="T35" s="69">
        <v>20000</v>
      </c>
      <c r="U35" s="69">
        <v>20000</v>
      </c>
      <c r="V35" s="69">
        <v>25000</v>
      </c>
      <c r="W35" s="69">
        <v>25000</v>
      </c>
      <c r="X35" s="69">
        <v>25000</v>
      </c>
      <c r="Y35" s="69">
        <v>30000</v>
      </c>
      <c r="Z35" s="69">
        <v>30000</v>
      </c>
      <c r="AA35" s="69">
        <v>30000</v>
      </c>
      <c r="AB35" s="70">
        <f>SUM(P35:AA35)</f>
        <v>270000</v>
      </c>
      <c r="AC35" s="91">
        <f>AC27*0.09</f>
        <v>843725.376</v>
      </c>
      <c r="AD35" s="69">
        <f>AD27*0.09</f>
        <v>1210562.496</v>
      </c>
      <c r="AE35" s="71">
        <f>AE27*0.09</f>
        <v>1449006.624</v>
      </c>
    </row>
    <row r="36" spans="1:31" ht="12.75">
      <c r="A36" s="13"/>
      <c r="B36" s="22" t="s">
        <v>48</v>
      </c>
      <c r="C36" s="69">
        <v>2500</v>
      </c>
      <c r="D36" s="69">
        <v>2500</v>
      </c>
      <c r="E36" s="69">
        <v>2500</v>
      </c>
      <c r="F36" s="69">
        <v>1000</v>
      </c>
      <c r="G36" s="69">
        <v>1000</v>
      </c>
      <c r="H36" s="69">
        <v>1000</v>
      </c>
      <c r="I36" s="69">
        <v>1000</v>
      </c>
      <c r="J36" s="69">
        <v>1000</v>
      </c>
      <c r="K36" s="69">
        <v>1000</v>
      </c>
      <c r="L36" s="69">
        <v>1000</v>
      </c>
      <c r="M36" s="69">
        <v>1000</v>
      </c>
      <c r="N36" s="69">
        <v>1000</v>
      </c>
      <c r="O36" s="70">
        <f>SUM(D36:N36)</f>
        <v>14000</v>
      </c>
      <c r="P36" s="69">
        <v>6000</v>
      </c>
      <c r="Q36" s="69">
        <v>6000</v>
      </c>
      <c r="R36" s="69">
        <v>6000</v>
      </c>
      <c r="S36" s="69">
        <v>6000</v>
      </c>
      <c r="T36" s="69">
        <v>6000</v>
      </c>
      <c r="U36" s="69">
        <v>6000</v>
      </c>
      <c r="V36" s="69">
        <v>6000</v>
      </c>
      <c r="W36" s="69">
        <v>6000</v>
      </c>
      <c r="X36" s="69">
        <v>6000</v>
      </c>
      <c r="Y36" s="69">
        <v>6000</v>
      </c>
      <c r="Z36" s="69">
        <v>6000</v>
      </c>
      <c r="AA36" s="69">
        <v>6000</v>
      </c>
      <c r="AB36" s="70">
        <f>SUM(P36:AA36)</f>
        <v>72000</v>
      </c>
      <c r="AC36" s="91">
        <f>AC27*0.05</f>
        <v>468736.32000000007</v>
      </c>
      <c r="AD36" s="69">
        <f>AC36*1.1</f>
        <v>515609.9520000001</v>
      </c>
      <c r="AE36" s="71">
        <f>AD36*1.1</f>
        <v>567170.9472000002</v>
      </c>
    </row>
    <row r="37" spans="1:31" ht="12.75">
      <c r="A37" s="13"/>
      <c r="B37" s="22" t="s">
        <v>46</v>
      </c>
      <c r="C37" s="69">
        <v>5000</v>
      </c>
      <c r="D37" s="69">
        <v>5000</v>
      </c>
      <c r="E37" s="69">
        <v>1000</v>
      </c>
      <c r="F37" s="69">
        <v>1000</v>
      </c>
      <c r="G37" s="69">
        <v>1000</v>
      </c>
      <c r="H37" s="69">
        <v>1000</v>
      </c>
      <c r="I37" s="69">
        <v>1000</v>
      </c>
      <c r="J37" s="69">
        <v>1000</v>
      </c>
      <c r="K37" s="69">
        <v>1000</v>
      </c>
      <c r="L37" s="69">
        <v>1000</v>
      </c>
      <c r="M37" s="69">
        <v>1000</v>
      </c>
      <c r="N37" s="69">
        <v>1000</v>
      </c>
      <c r="O37" s="70">
        <f>SUM(D37:N37)</f>
        <v>15000</v>
      </c>
      <c r="P37" s="69">
        <v>2000</v>
      </c>
      <c r="Q37" s="69">
        <v>2000</v>
      </c>
      <c r="R37" s="69">
        <v>2000</v>
      </c>
      <c r="S37" s="69">
        <v>2000</v>
      </c>
      <c r="T37" s="69">
        <v>2000</v>
      </c>
      <c r="U37" s="69">
        <v>2000</v>
      </c>
      <c r="V37" s="69">
        <v>2000</v>
      </c>
      <c r="W37" s="69">
        <v>2000</v>
      </c>
      <c r="X37" s="69">
        <v>2000</v>
      </c>
      <c r="Y37" s="69">
        <v>2000</v>
      </c>
      <c r="Z37" s="69">
        <v>2000</v>
      </c>
      <c r="AA37" s="69">
        <v>2000</v>
      </c>
      <c r="AB37" s="70">
        <f>SUM(P37:AA37)</f>
        <v>24000</v>
      </c>
      <c r="AC37" s="91">
        <f>AC27*0.005</f>
        <v>46873.632000000005</v>
      </c>
      <c r="AD37" s="69">
        <f>AD27*0.005</f>
        <v>67253.47200000001</v>
      </c>
      <c r="AE37" s="71">
        <f>AE27*0.005</f>
        <v>80500.368</v>
      </c>
    </row>
    <row r="38" spans="1:31" ht="12.75">
      <c r="A38" s="13"/>
      <c r="B38" s="22" t="s">
        <v>9</v>
      </c>
      <c r="C38" s="87"/>
      <c r="D38" s="87">
        <v>5000</v>
      </c>
      <c r="E38" s="87">
        <v>5000</v>
      </c>
      <c r="F38" s="87">
        <v>5000</v>
      </c>
      <c r="G38" s="87">
        <v>5000</v>
      </c>
      <c r="H38" s="87">
        <v>5000</v>
      </c>
      <c r="I38" s="87">
        <v>5000</v>
      </c>
      <c r="J38" s="87">
        <v>5000</v>
      </c>
      <c r="K38" s="87">
        <v>5000</v>
      </c>
      <c r="L38" s="87">
        <v>5000</v>
      </c>
      <c r="M38" s="87">
        <v>5000</v>
      </c>
      <c r="N38" s="87">
        <v>5000</v>
      </c>
      <c r="O38" s="88">
        <f>SUM(D38:N38)</f>
        <v>55000</v>
      </c>
      <c r="P38" s="87">
        <v>15000</v>
      </c>
      <c r="Q38" s="87">
        <v>15000</v>
      </c>
      <c r="R38" s="87">
        <v>15000</v>
      </c>
      <c r="S38" s="87">
        <v>20000</v>
      </c>
      <c r="T38" s="87">
        <v>20000</v>
      </c>
      <c r="U38" s="87">
        <v>20000</v>
      </c>
      <c r="V38" s="87">
        <v>25000</v>
      </c>
      <c r="W38" s="87">
        <v>25000</v>
      </c>
      <c r="X38" s="87">
        <v>25000</v>
      </c>
      <c r="Y38" s="87">
        <v>30000</v>
      </c>
      <c r="Z38" s="87">
        <v>30000</v>
      </c>
      <c r="AA38" s="87">
        <v>30000</v>
      </c>
      <c r="AB38" s="88">
        <f>SUM(P38:AA38)</f>
        <v>270000</v>
      </c>
      <c r="AC38" s="92">
        <f>AC27*0.07</f>
        <v>656230.8480000001</v>
      </c>
      <c r="AD38" s="87">
        <f>AD27*0.07</f>
        <v>941548.6080000001</v>
      </c>
      <c r="AE38" s="89">
        <f>AE27*0.07</f>
        <v>1127005.1520000002</v>
      </c>
    </row>
    <row r="39" spans="1:31" ht="12.75">
      <c r="A39" s="13"/>
      <c r="B39" s="22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91"/>
      <c r="AD39" s="69"/>
      <c r="AE39" s="71"/>
    </row>
    <row r="40" spans="1:31" ht="12.75">
      <c r="A40" s="13"/>
      <c r="B40" s="43" t="s">
        <v>43</v>
      </c>
      <c r="C40" s="73">
        <f>C32-C35-C36-C37-C38</f>
        <v>-7500</v>
      </c>
      <c r="D40" s="73">
        <f>D32-D35-D36-D37-D38</f>
        <v>-13340.35792</v>
      </c>
      <c r="E40" s="73">
        <f aca="true" t="shared" si="23" ref="E40:AB40">E32-E35-E36-E37-E38</f>
        <v>-11105.3688</v>
      </c>
      <c r="F40" s="73">
        <f t="shared" si="23"/>
        <v>-8008.9479999999985</v>
      </c>
      <c r="G40" s="73">
        <f t="shared" si="23"/>
        <v>-6412.527200000001</v>
      </c>
      <c r="H40" s="73">
        <f t="shared" si="23"/>
        <v>-4816.1064</v>
      </c>
      <c r="I40" s="73">
        <f t="shared" si="23"/>
        <v>-3325.0544000000027</v>
      </c>
      <c r="J40" s="73">
        <f t="shared" si="23"/>
        <v>665.9976000000024</v>
      </c>
      <c r="K40" s="73">
        <f t="shared" si="23"/>
        <v>4657.0495999999985</v>
      </c>
      <c r="L40" s="73">
        <f t="shared" si="23"/>
        <v>8648.101600000005</v>
      </c>
      <c r="M40" s="73">
        <f t="shared" si="23"/>
        <v>12639.153600000001</v>
      </c>
      <c r="N40" s="73">
        <f t="shared" si="23"/>
        <v>16630.205600000005</v>
      </c>
      <c r="O40" s="75">
        <f>O32-O35-O36-O37-O38</f>
        <v>-3767.854719999974</v>
      </c>
      <c r="P40" s="73">
        <f t="shared" si="23"/>
        <v>33040.72559999999</v>
      </c>
      <c r="Q40" s="73">
        <f t="shared" si="23"/>
        <v>33040.72559999999</v>
      </c>
      <c r="R40" s="73">
        <f t="shared" si="23"/>
        <v>41022.8296</v>
      </c>
      <c r="S40" s="73">
        <f t="shared" si="23"/>
        <v>31022.829599999997</v>
      </c>
      <c r="T40" s="73">
        <f t="shared" si="23"/>
        <v>39004.93360000002</v>
      </c>
      <c r="U40" s="73">
        <f t="shared" si="23"/>
        <v>39004.93360000002</v>
      </c>
      <c r="V40" s="73">
        <f t="shared" si="23"/>
        <v>164700.7016</v>
      </c>
      <c r="W40" s="73">
        <f t="shared" si="23"/>
        <v>164700.7016</v>
      </c>
      <c r="X40" s="73">
        <f t="shared" si="23"/>
        <v>172682.80560000005</v>
      </c>
      <c r="Y40" s="73">
        <f t="shared" si="23"/>
        <v>162682.80560000005</v>
      </c>
      <c r="Z40" s="73">
        <f t="shared" si="23"/>
        <v>170664.90959999998</v>
      </c>
      <c r="AA40" s="73">
        <f t="shared" si="23"/>
        <v>170664.90959999998</v>
      </c>
      <c r="AB40" s="75">
        <f t="shared" si="23"/>
        <v>1222233.8111999999</v>
      </c>
      <c r="AC40" s="98">
        <f>AC32-AC35-AC36-AC37-AC38</f>
        <v>2859291.5519999983</v>
      </c>
      <c r="AD40" s="73">
        <f>AD32-AD35-AD36-AD37-AD38</f>
        <v>4393893.503999999</v>
      </c>
      <c r="AE40" s="74">
        <f>AE32-AE35-AE36-AE37-AE38</f>
        <v>5470356.652800003</v>
      </c>
    </row>
    <row r="41" spans="1:31" ht="12.75">
      <c r="A41" s="13"/>
      <c r="B41" s="43" t="s">
        <v>44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86">
        <f>O40/O27</f>
        <v>-0.012110139771314634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86">
        <f>AB40/AB27</f>
        <v>0.30913757343218007</v>
      </c>
      <c r="AC41" s="93">
        <f>AC40/AC27</f>
        <v>0.3049999999999998</v>
      </c>
      <c r="AD41" s="85">
        <f>AD40/AD27</f>
        <v>0.32666666666666655</v>
      </c>
      <c r="AE41" s="94">
        <f>AE40/AE27</f>
        <v>0.33977215189873433</v>
      </c>
    </row>
    <row r="42" spans="1:31" ht="12.75">
      <c r="A42" s="31"/>
      <c r="B42" s="46"/>
      <c r="C42" s="76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  <c r="AC42" s="96"/>
      <c r="AD42" s="80"/>
      <c r="AE42" s="82"/>
    </row>
    <row r="43" spans="1:31" s="10" customFormat="1" ht="12.75">
      <c r="A43" s="35"/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s="10" customFormat="1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0" customFormat="1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0" customFormat="1" ht="12.75">
      <c r="A46" s="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0" customFormat="1" ht="12.75">
      <c r="A47" s="34"/>
      <c r="B47" s="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0" customFormat="1" ht="12.75">
      <c r="A48" s="34"/>
      <c r="B48" s="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10" customFormat="1" ht="12.75">
      <c r="A49" s="34"/>
      <c r="B49" s="8"/>
      <c r="C49" s="8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" s="10" customFormat="1" ht="12.75">
      <c r="A50" s="34"/>
      <c r="C50" s="83"/>
    </row>
    <row r="51" spans="1:33" s="10" customFormat="1" ht="12.75">
      <c r="A51" s="34"/>
      <c r="B51" s="8"/>
      <c r="C51" s="8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AD51" s="32"/>
      <c r="AE51" s="32"/>
      <c r="AG51" s="32"/>
    </row>
    <row r="52" spans="1:31" s="10" customFormat="1" ht="12.75">
      <c r="A52" s="34"/>
      <c r="B52" s="15"/>
      <c r="C52" s="8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s="10" customFormat="1" ht="12.75">
      <c r="A53" s="34"/>
      <c r="B53" s="1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10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HealthWags Financials</dc:title>
  <dc:subject/>
  <dc:creator>Marc H Meyer</dc:creator>
  <cp:keywords/>
  <dc:description/>
  <cp:lastModifiedBy>mkoraly</cp:lastModifiedBy>
  <dcterms:created xsi:type="dcterms:W3CDTF">2006-01-08T02:52:00Z</dcterms:created>
  <dcterms:modified xsi:type="dcterms:W3CDTF">2012-11-14T20:21:11Z</dcterms:modified>
  <cp:category/>
  <cp:version/>
  <cp:contentType/>
  <cp:contentStatus/>
</cp:coreProperties>
</file>