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3"/>
  </bookViews>
  <sheets>
    <sheet name="Intro" sheetId="1" r:id="rId1"/>
    <sheet name="RevenueFig9.2" sheetId="2" r:id="rId2"/>
    <sheet name="P&amp;LFig9.4" sheetId="3" r:id="rId3"/>
    <sheet name="Dept Budget" sheetId="4" r:id="rId4"/>
    <sheet name="Headcount" sheetId="5" r:id="rId5"/>
    <sheet name="Cash FlowFig9.5" sheetId="6" r:id="rId6"/>
    <sheet name="Balance Sheet9.6" sheetId="7" r:id="rId7"/>
    <sheet name="Cap Exp" sheetId="8" r:id="rId8"/>
    <sheet name="Misc Exp" sheetId="9" r:id="rId9"/>
  </sheets>
  <definedNames>
    <definedName name="Annual_Salary">'Headcount'!$D:$D</definedName>
    <definedName name="Boston_Common_Area">#REF!</definedName>
    <definedName name="BostonRate">#REF!</definedName>
    <definedName name="Bud_GA_HC">'Dept Budget'!#REF!</definedName>
    <definedName name="Bud_HC">'Dept Budget'!#REF!</definedName>
    <definedName name="Bud_KI_HC">'Dept Budget'!#REF!</definedName>
    <definedName name="Bud_RD_HC">'Dept Budget'!$37:$37</definedName>
    <definedName name="Bud_SM_HC">'Dept Budget'!#REF!</definedName>
    <definedName name="Bud_Unit_Cost">'Dept Budget'!$D:$D</definedName>
    <definedName name="Cap_Unit_Price">'Cap Exp'!$D:$D</definedName>
    <definedName name="CM_Pricing">'P&amp;LFig9.4'!#REF!</definedName>
    <definedName name="Cold_Fusion_Price">'P&amp;LFig9.4'!#REF!</definedName>
    <definedName name="Denver_Common_Area">#REF!</definedName>
    <definedName name="DenverRate">#REF!</definedName>
    <definedName name="EC_Pricing">'P&amp;LFig9.4'!#REF!</definedName>
    <definedName name="GA_Change">'Cap Exp'!$9:$9</definedName>
    <definedName name="KI_Change">'Cap Exp'!$11:$11</definedName>
    <definedName name="No_of_Persons">'Headcount'!#REF!</definedName>
    <definedName name="ORACLE_Price">'P&amp;LFig9.4'!#REF!</definedName>
    <definedName name="_xlnm.Print_Area" localSheetId="2">'P&amp;LFig9.4'!$A$1:$AD$47</definedName>
    <definedName name="_xlnm.Print_Area" localSheetId="1">'RevenueFig9.2'!$A$1:$AD$107</definedName>
    <definedName name="Pur_Pricing">'P&amp;LFig9.4'!#REF!</definedName>
    <definedName name="RD_Change">'Cap Exp'!$5:$5</definedName>
    <definedName name="Rent1999">#REF!</definedName>
    <definedName name="Rent2000">#REF!</definedName>
    <definedName name="Rent2001">#REF!</definedName>
    <definedName name="Rent2002">#REF!</definedName>
    <definedName name="Rent2003">#REF!</definedName>
    <definedName name="SM_Change">'Cap Exp'!$7:$7</definedName>
    <definedName name="SQL_Server_Price">'P&amp;LFig9.4'!#REF!</definedName>
    <definedName name="Total_Alloc_Exp">'Cap Exp'!$84:$84</definedName>
    <definedName name="WK100_Pricing">'P&amp;LFig9.4'!#REF!</definedName>
    <definedName name="WK1005_Pricing">'P&amp;LFig9.4'!#REF!</definedName>
    <definedName name="WK1010_Pricing">'P&amp;LFig9.4'!#REF!</definedName>
    <definedName name="WK1050_Pricing">'P&amp;LFig9.4'!#REF!</definedName>
    <definedName name="WK200_Pricing">'P&amp;LFig9.4'!#REF!</definedName>
    <definedName name="WK2000_Pricing">'P&amp;LFig9.4'!#REF!</definedName>
  </definedNames>
  <calcPr fullCalcOnLoad="1"/>
</workbook>
</file>

<file path=xl/sharedStrings.xml><?xml version="1.0" encoding="utf-8"?>
<sst xmlns="http://schemas.openxmlformats.org/spreadsheetml/2006/main" count="593" uniqueCount="296">
  <si>
    <t>Revenue</t>
  </si>
  <si>
    <t>Software</t>
  </si>
  <si>
    <t>Research and Development</t>
  </si>
  <si>
    <t>Sales and Marketing</t>
  </si>
  <si>
    <t>General and Administrative</t>
  </si>
  <si>
    <t>Operating Income</t>
  </si>
  <si>
    <t>Department/Position</t>
  </si>
  <si>
    <t>CFO</t>
  </si>
  <si>
    <t>Controller</t>
  </si>
  <si>
    <t>R&amp;D</t>
  </si>
  <si>
    <t>Software Engineer</t>
  </si>
  <si>
    <t>System Architect</t>
  </si>
  <si>
    <t>Common Development Services</t>
  </si>
  <si>
    <t>QA - Manager</t>
  </si>
  <si>
    <t>QA Tester</t>
  </si>
  <si>
    <t>Total Common Services</t>
  </si>
  <si>
    <t>Total R&amp;D Base Salary</t>
  </si>
  <si>
    <t>VP of Sales</t>
  </si>
  <si>
    <t>Marketing Comm Manager</t>
  </si>
  <si>
    <t>Technical Support</t>
  </si>
  <si>
    <t>Total Compensation</t>
  </si>
  <si>
    <t>Headcount by Department</t>
  </si>
  <si>
    <t>Sales</t>
  </si>
  <si>
    <t>Total Headcount</t>
  </si>
  <si>
    <t>Office Admin</t>
  </si>
  <si>
    <t>CEO and President</t>
  </si>
  <si>
    <t>Annual Salary</t>
  </si>
  <si>
    <t>Total Engineering</t>
  </si>
  <si>
    <t>Headcount</t>
  </si>
  <si>
    <t>General Headcount</t>
  </si>
  <si>
    <t>R&amp;D Headcount</t>
  </si>
  <si>
    <t>Sales Headcount</t>
  </si>
  <si>
    <t>Salaries by Department</t>
  </si>
  <si>
    <t>R&amp;D headcount</t>
  </si>
  <si>
    <t>Change in R&amp;D headcount</t>
  </si>
  <si>
    <t>Sales and Marketing headcount</t>
  </si>
  <si>
    <t>Change in S&amp;M headcount</t>
  </si>
  <si>
    <t>G&amp;A Headcount</t>
  </si>
  <si>
    <t>Change in G&amp;A Headcount</t>
  </si>
  <si>
    <t>Computer and Networking</t>
  </si>
  <si>
    <t>PCs</t>
  </si>
  <si>
    <t>Development software</t>
  </si>
  <si>
    <t>Printer</t>
  </si>
  <si>
    <t xml:space="preserve">Total Computer </t>
  </si>
  <si>
    <t>General Office</t>
  </si>
  <si>
    <t>Desks</t>
  </si>
  <si>
    <t>Chairs</t>
  </si>
  <si>
    <t>Total General Office</t>
  </si>
  <si>
    <t>Total R&amp;D Capital Expenditures</t>
  </si>
  <si>
    <t>Web Server</t>
  </si>
  <si>
    <t>Conference table and chairs</t>
  </si>
  <si>
    <t>Copiers</t>
  </si>
  <si>
    <t>Fax/copier/printer</t>
  </si>
  <si>
    <t>G&amp;A</t>
  </si>
  <si>
    <t>Corporate Expenditures</t>
  </si>
  <si>
    <t>Computer Equipment</t>
  </si>
  <si>
    <t>Network Hardware</t>
  </si>
  <si>
    <t>Printers</t>
  </si>
  <si>
    <t>Total Computer Expenditures</t>
  </si>
  <si>
    <t>Telecommunications</t>
  </si>
  <si>
    <t>Phone Server</t>
  </si>
  <si>
    <t>Boards ($3,000 pre 24 users)</t>
  </si>
  <si>
    <t>T1 installation</t>
  </si>
  <si>
    <t>Total Telecommunications</t>
  </si>
  <si>
    <t>Lobby Desks</t>
  </si>
  <si>
    <t>Lobby Waiting Area Chairs</t>
  </si>
  <si>
    <t>Kitchen setup</t>
  </si>
  <si>
    <t>Total Capital Expenditures</t>
  </si>
  <si>
    <t>Unit Price</t>
  </si>
  <si>
    <t>Total G&amp;A Expenditures</t>
  </si>
  <si>
    <t>Total Corporate Expenditures</t>
  </si>
  <si>
    <t>Head Count</t>
  </si>
  <si>
    <t>Labor Expense</t>
  </si>
  <si>
    <t>Salaries / Wages</t>
  </si>
  <si>
    <t>Payroll Taxes</t>
  </si>
  <si>
    <t>Health Insurance</t>
  </si>
  <si>
    <t>Total Labor Expenses</t>
  </si>
  <si>
    <t>Travel and Entertainment</t>
  </si>
  <si>
    <t>Software and Technical Books</t>
  </si>
  <si>
    <t>Telecommunication Expense</t>
  </si>
  <si>
    <t>Total non-Labor R&amp;D Expense</t>
  </si>
  <si>
    <t>Total R&amp;D Expenses</t>
  </si>
  <si>
    <t>Accounting Service Fees</t>
  </si>
  <si>
    <t>Total S&amp;M Expenditures</t>
  </si>
  <si>
    <t>Monthly Cost per Emp</t>
  </si>
  <si>
    <t xml:space="preserve">Long Distance charges     </t>
  </si>
  <si>
    <t xml:space="preserve">Shared Telecomm Exp    </t>
  </si>
  <si>
    <t xml:space="preserve">Office Supplies                               </t>
  </si>
  <si>
    <t xml:space="preserve">Printing and Copying supplies          </t>
  </si>
  <si>
    <t xml:space="preserve">Other Employee Benefits                </t>
  </si>
  <si>
    <t xml:space="preserve">Employee Morale                           </t>
  </si>
  <si>
    <t xml:space="preserve">Kitchen Supplies                            </t>
  </si>
  <si>
    <t xml:space="preserve">Benefit Plan fees                          </t>
  </si>
  <si>
    <t xml:space="preserve">401K                                            </t>
  </si>
  <si>
    <t>General Liability Insurance</t>
  </si>
  <si>
    <t>Telecommunication Expenses:</t>
  </si>
  <si>
    <t>Total communications costs</t>
  </si>
  <si>
    <t>Office Administrative Expenses:</t>
  </si>
  <si>
    <t>Total OAE</t>
  </si>
  <si>
    <t>Outside Services:</t>
  </si>
  <si>
    <t>Total Outside Services</t>
  </si>
  <si>
    <t>Other Operating Expense:</t>
  </si>
  <si>
    <t>Total Other</t>
  </si>
  <si>
    <t>Total Misc Employee Expenses</t>
  </si>
  <si>
    <t>Annual    Cost per Emp</t>
  </si>
  <si>
    <t>Net Income</t>
  </si>
  <si>
    <t>Documentation Writer</t>
  </si>
  <si>
    <t>Cost of Goods</t>
  </si>
  <si>
    <t>GS&amp;A</t>
  </si>
  <si>
    <t>Provision for Taxes (33%)</t>
  </si>
  <si>
    <t>Total Cost of Goods</t>
  </si>
  <si>
    <t>Number of residents monitored</t>
  </si>
  <si>
    <t>Assisted Living Companies</t>
  </si>
  <si>
    <t>Home Health Agencies</t>
  </si>
  <si>
    <t>Assisted Living</t>
  </si>
  <si>
    <t># of Residents</t>
  </si>
  <si>
    <t>Wellness portal for loved ones</t>
  </si>
  <si>
    <t>Wellness monitor and report</t>
  </si>
  <si>
    <t>Monthly Service Fees</t>
  </si>
  <si>
    <t>Primary Markets / Channels</t>
  </si>
  <si>
    <t>Total # of Residents Automated</t>
  </si>
  <si>
    <t># of New Residents To Be Automated</t>
  </si>
  <si>
    <t>Subtotals for Assisted Living</t>
  </si>
  <si>
    <t>Residents Monitored</t>
  </si>
  <si>
    <t>Number of partner companies</t>
  </si>
  <si>
    <t># of Insured</t>
  </si>
  <si>
    <t># of New Insured To Be Automated</t>
  </si>
  <si>
    <t>Total # of  Insured Automated</t>
  </si>
  <si>
    <t>Subtotals for Health Insurers</t>
  </si>
  <si>
    <t>Home Health Agency 1</t>
  </si>
  <si>
    <t>Home Health Agency 3</t>
  </si>
  <si>
    <t>Home Health Agency 2</t>
  </si>
  <si>
    <t>Subtotal HH 1</t>
  </si>
  <si>
    <t>Subtotal HH 2</t>
  </si>
  <si>
    <t>Subtotal HH 3</t>
  </si>
  <si>
    <t>Number of  Facilities</t>
  </si>
  <si>
    <t>Total Revenue</t>
  </si>
  <si>
    <t>Salesperson</t>
  </si>
  <si>
    <t>Total Base Sales Salaries</t>
  </si>
  <si>
    <t>Total Sales &amp; Marketing Compensation</t>
  </si>
  <si>
    <t>Executives and Support Staff</t>
  </si>
  <si>
    <t>Capital Expenditures (Comp/Desk)</t>
  </si>
  <si>
    <t>Miscellaneous Expense</t>
  </si>
  <si>
    <t>Total Exec and Support Expenses</t>
  </si>
  <si>
    <t>Total Sales Expenses</t>
  </si>
  <si>
    <t>Total Tech Support Expenses</t>
  </si>
  <si>
    <t>Total Operating Expense</t>
  </si>
  <si>
    <t>Profitability on Sales</t>
  </si>
  <si>
    <t>Operating Margin</t>
  </si>
  <si>
    <t>Beginning Cash</t>
  </si>
  <si>
    <t>Add: Depreciation</t>
  </si>
  <si>
    <t>Free Cash Flow</t>
  </si>
  <si>
    <t>Net Change in Cash</t>
  </si>
  <si>
    <t>Ending Cash</t>
  </si>
  <si>
    <t>Depreciation Schedule</t>
  </si>
  <si>
    <t>Useful Life (years)</t>
  </si>
  <si>
    <t>Period</t>
  </si>
  <si>
    <t>Total Depreciation</t>
  </si>
  <si>
    <t>Change in Technical Support</t>
  </si>
  <si>
    <t>Less: Capital Expense</t>
  </si>
  <si>
    <t>Recurring Service Revenue</t>
  </si>
  <si>
    <t>Chief Medical Officer / Consultant</t>
  </si>
  <si>
    <t>Tradeshows ($60k per show)</t>
  </si>
  <si>
    <t>Interest Income</t>
  </si>
  <si>
    <t>Year 1</t>
  </si>
  <si>
    <t>Year 2</t>
  </si>
  <si>
    <t>Year 3</t>
  </si>
  <si>
    <t>Year 4</t>
  </si>
  <si>
    <t>Year 5</t>
  </si>
  <si>
    <t>Director of Operations</t>
  </si>
  <si>
    <t>Marketing Asst</t>
  </si>
  <si>
    <t>VP R&amp;D</t>
  </si>
  <si>
    <t>Development Server</t>
  </si>
  <si>
    <t>QA Server</t>
  </si>
  <si>
    <t>Web Servers</t>
  </si>
  <si>
    <t>Copier</t>
  </si>
  <si>
    <t>Capital budget</t>
  </si>
  <si>
    <t>Training / Support Specialist</t>
  </si>
  <si>
    <t>Product Manager - Clinical Analyst</t>
  </si>
  <si>
    <t>Partner #1</t>
  </si>
  <si>
    <t>Partner #2</t>
  </si>
  <si>
    <t>Partner #3</t>
  </si>
  <si>
    <t>Partner #4</t>
  </si>
  <si>
    <t>Add Adjustment for A/P  (30 days)</t>
  </si>
  <si>
    <t># of Facilities</t>
  </si>
  <si>
    <t>Wellness portal for providers</t>
  </si>
  <si>
    <t xml:space="preserve">Wellness monitoring </t>
  </si>
  <si>
    <t>Assisted Living Monitoring</t>
  </si>
  <si>
    <t>Home Health Agencies Monitoring</t>
  </si>
  <si>
    <t>Mar</t>
  </si>
  <si>
    <t>Apr</t>
  </si>
  <si>
    <t>May</t>
  </si>
  <si>
    <t>Jun</t>
  </si>
  <si>
    <t>July</t>
  </si>
  <si>
    <t>Aug</t>
  </si>
  <si>
    <t>Sep</t>
  </si>
  <si>
    <t>Oct</t>
  </si>
  <si>
    <t>Nov</t>
  </si>
  <si>
    <t>Dec</t>
  </si>
  <si>
    <t>Penetration rate</t>
  </si>
  <si>
    <t>Launch</t>
  </si>
  <si>
    <t>Test / Trial with Partner #1</t>
  </si>
  <si>
    <t xml:space="preserve"> Facilities</t>
  </si>
  <si>
    <t>Launch 4th Qtr</t>
  </si>
  <si>
    <t>Subtotal #1</t>
  </si>
  <si>
    <t>Subtotal #2</t>
  </si>
  <si>
    <t>Subtotal #3</t>
  </si>
  <si>
    <t>Subtotal #4</t>
  </si>
  <si>
    <t>In cremental Penetration rate</t>
  </si>
  <si>
    <t>Add:  Interest Income 2%</t>
  </si>
  <si>
    <t>Jul</t>
  </si>
  <si>
    <t>Database Developer</t>
  </si>
  <si>
    <t>Customer Support</t>
  </si>
  <si>
    <t>Total CS Salaries</t>
  </si>
  <si>
    <t>Customer Support Manager</t>
  </si>
  <si>
    <t>Field Service Technician</t>
  </si>
  <si>
    <t>Software Integration Specialist</t>
  </si>
  <si>
    <t>Customer Support Headcount</t>
  </si>
  <si>
    <t>Commissions @1X salary</t>
  </si>
  <si>
    <t>Total Base Salaries</t>
  </si>
  <si>
    <t>Total Base MarketingSalaries</t>
  </si>
  <si>
    <t>Installation fee per facility</t>
  </si>
  <si>
    <t>Installation fee per residence</t>
  </si>
  <si>
    <t>Jan</t>
  </si>
  <si>
    <t>Feb</t>
  </si>
  <si>
    <t>Installation Fee for Residents</t>
  </si>
  <si>
    <t>Installation Fee for New  Residents</t>
  </si>
  <si>
    <t>Installation Fee for New Facilities</t>
  </si>
  <si>
    <t>COGS as % of Revenue</t>
  </si>
  <si>
    <t>Insurance (Product/Commercial)</t>
  </si>
  <si>
    <t>Exit at 6X EBITDA</t>
  </si>
  <si>
    <t>Less 5% commission to channel partners</t>
  </si>
  <si>
    <t>Net sales</t>
  </si>
  <si>
    <t># of Facilities (rounded up)</t>
  </si>
  <si>
    <t>Travel and Entertainment for CEO/CFO</t>
  </si>
  <si>
    <t>Unit Cost/Year</t>
  </si>
  <si>
    <t>Home Health TestTrial</t>
  </si>
  <si>
    <t>New residents monitored</t>
  </si>
  <si>
    <t>Key Revenue Units Measures</t>
  </si>
  <si>
    <t>Total partner companies</t>
  </si>
  <si>
    <t>Total new residents monitored</t>
  </si>
  <si>
    <t>Total residents monitored</t>
  </si>
  <si>
    <t>Public Relations / Media  (25k/yr)</t>
  </si>
  <si>
    <t>Direct Marketing  ($50k per partner/yr)</t>
  </si>
  <si>
    <t>Rent and Utilities  ($20k foot)</t>
  </si>
  <si>
    <t>Misc Office Expense (Supplies, Etc.)</t>
  </si>
  <si>
    <t>Depreciation (see Cap Budget)</t>
  </si>
  <si>
    <t>Postage</t>
  </si>
  <si>
    <t>Legal Fees (including  Patent)</t>
  </si>
  <si>
    <t>Installation in residencies ($100)</t>
  </si>
  <si>
    <t>Sensors, PC, wireless modems  ($500)</t>
  </si>
  <si>
    <t>Application hosting (5% of Revenue)</t>
  </si>
  <si>
    <t>System Field Test for New Channel Partners</t>
  </si>
  <si>
    <t>Transportation and supplies</t>
  </si>
  <si>
    <t>Subcontract Field Support for Residences</t>
  </si>
  <si>
    <t>Deb Financing</t>
  </si>
  <si>
    <t>Equity Financing</t>
  </si>
  <si>
    <t>Subtract:  Interest payment 12%</t>
  </si>
  <si>
    <t>Net income</t>
  </si>
  <si>
    <t>Less Adjustment for A/R (30 days)</t>
  </si>
  <si>
    <t>Assets</t>
  </si>
  <si>
    <t>Cash</t>
  </si>
  <si>
    <t>Equipment (net of Depreciation)</t>
  </si>
  <si>
    <t>Liabilities</t>
  </si>
  <si>
    <t>Debt</t>
  </si>
  <si>
    <t>Equity</t>
  </si>
  <si>
    <t>Year2</t>
  </si>
  <si>
    <t>Accounts Receivable</t>
  </si>
  <si>
    <t>Accounts Payable</t>
  </si>
  <si>
    <t>Short Term Debt</t>
  </si>
  <si>
    <t>Long Term Debt</t>
  </si>
  <si>
    <t>Invested Capital</t>
  </si>
  <si>
    <t>Retained Earnings</t>
  </si>
  <si>
    <t>Total Assets</t>
  </si>
  <si>
    <t>Total Liabilities</t>
  </si>
  <si>
    <t>Total Equity</t>
  </si>
  <si>
    <t>Miscellaneous Expenses</t>
  </si>
  <si>
    <t>Revenue Projections for a Health Monitoring Venture</t>
  </si>
  <si>
    <t>Proforma P&amp;L for a Health Monitoring Venture</t>
  </si>
  <si>
    <t>Departmental Budget for a Health Monitoring Venture</t>
  </si>
  <si>
    <t>Headcount Budget for a Health Monitoring Venture</t>
  </si>
  <si>
    <t>Proforma Balance Sheet for a Health Monitoring Venture</t>
  </si>
  <si>
    <t>Proforma Cash Flow Statement for a Health Monitoring Venture</t>
  </si>
  <si>
    <t>Financial Projections for the Health Monitoring Venture</t>
  </si>
  <si>
    <t>Marc H. Meyer and Fred Crane</t>
  </si>
  <si>
    <t xml:space="preserve">No representation is made regarding the accuracy of calculations in these spreadsheets. </t>
  </si>
  <si>
    <t>Copyright©  Marc H. Meyer, Boston, MA</t>
  </si>
  <si>
    <t>Use these spreadsheets as a template for your own venture !</t>
  </si>
  <si>
    <t>These spreadsheets are intended for class instruction and student project development only.</t>
  </si>
  <si>
    <t>PLEASE READ</t>
  </si>
  <si>
    <t>This is an extremely detailed planning template.</t>
  </si>
  <si>
    <t>Use it carefully and wisely.</t>
  </si>
  <si>
    <t>Use of these materials for anything other than project development in courses using our book is prohibited</t>
  </si>
  <si>
    <t>unless approved in writing by Marc H. Meyer.</t>
  </si>
  <si>
    <t>Sage Publications, 2014</t>
  </si>
  <si>
    <t>Entrepreneurship:  An Innovator's Guide to Startups and Corporate Ventures 2e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</si>
</sst>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10"/>
      <color indexed="12"/>
      <name val="Calibri"/>
      <family val="2"/>
    </font>
    <font>
      <b/>
      <sz val="12"/>
      <name val="Calibri"/>
      <family val="2"/>
    </font>
    <font>
      <b/>
      <i/>
      <sz val="8"/>
      <name val="Calibri"/>
      <family val="2"/>
    </font>
    <font>
      <b/>
      <i/>
      <sz val="10"/>
      <name val="Calibri"/>
      <family val="2"/>
    </font>
    <font>
      <b/>
      <sz val="10"/>
      <name val="Arial"/>
      <family val="2"/>
    </font>
    <font>
      <sz val="12"/>
      <name val="Calibri"/>
      <family val="2"/>
    </font>
    <font>
      <i/>
      <sz val="12"/>
      <name val="Calibri"/>
      <family val="2"/>
    </font>
    <font>
      <b/>
      <sz val="14"/>
      <name val="Calibri"/>
      <family val="2"/>
    </font>
    <font>
      <u val="single"/>
      <sz val="10"/>
      <color indexed="12"/>
      <name val="Arial"/>
      <family val="0"/>
    </font>
    <font>
      <i/>
      <sz val="8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i/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medium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164" fontId="5" fillId="0" borderId="0" xfId="0" applyNumberFormat="1" applyFont="1" applyAlignment="1">
      <alignment/>
    </xf>
    <xf numFmtId="1" fontId="3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3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37" fontId="4" fillId="0" borderId="0" xfId="0" applyNumberFormat="1" applyFont="1" applyAlignment="1">
      <alignment/>
    </xf>
    <xf numFmtId="37" fontId="9" fillId="0" borderId="0" xfId="0" applyNumberFormat="1" applyFont="1" applyAlignment="1">
      <alignment/>
    </xf>
    <xf numFmtId="42" fontId="4" fillId="0" borderId="0" xfId="0" applyNumberFormat="1" applyFont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NumberFormat="1" applyFont="1" applyAlignment="1">
      <alignment horizont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6" fontId="4" fillId="0" borderId="0" xfId="0" applyNumberFormat="1" applyFont="1" applyAlignment="1">
      <alignment/>
    </xf>
    <xf numFmtId="6" fontId="4" fillId="0" borderId="10" xfId="0" applyNumberFormat="1" applyFont="1" applyBorder="1" applyAlignment="1">
      <alignment/>
    </xf>
    <xf numFmtId="6" fontId="4" fillId="0" borderId="11" xfId="0" applyNumberFormat="1" applyFont="1" applyBorder="1" applyAlignment="1">
      <alignment/>
    </xf>
    <xf numFmtId="6" fontId="4" fillId="0" borderId="12" xfId="0" applyNumberFormat="1" applyFont="1" applyBorder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38" fontId="5" fillId="0" borderId="0" xfId="0" applyNumberFormat="1" applyFont="1" applyAlignment="1">
      <alignment/>
    </xf>
    <xf numFmtId="38" fontId="5" fillId="0" borderId="13" xfId="0" applyNumberFormat="1" applyFont="1" applyBorder="1" applyAlignment="1">
      <alignment/>
    </xf>
    <xf numFmtId="0" fontId="5" fillId="0" borderId="0" xfId="0" applyFont="1" applyAlignment="1">
      <alignment horizontal="right"/>
    </xf>
    <xf numFmtId="38" fontId="5" fillId="0" borderId="0" xfId="0" applyNumberFormat="1" applyFont="1" applyBorder="1" applyAlignment="1">
      <alignment/>
    </xf>
    <xf numFmtId="1" fontId="3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38" fontId="4" fillId="0" borderId="0" xfId="0" applyNumberFormat="1" applyFont="1" applyAlignment="1">
      <alignment/>
    </xf>
    <xf numFmtId="38" fontId="4" fillId="0" borderId="10" xfId="0" applyNumberFormat="1" applyFont="1" applyBorder="1" applyAlignment="1">
      <alignment/>
    </xf>
    <xf numFmtId="8" fontId="4" fillId="0" borderId="0" xfId="0" applyNumberFormat="1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 horizontal="right"/>
    </xf>
    <xf numFmtId="3" fontId="5" fillId="0" borderId="0" xfId="0" applyNumberFormat="1" applyFont="1" applyAlignment="1" applyProtection="1">
      <alignment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1" fontId="6" fillId="0" borderId="0" xfId="0" applyNumberFormat="1" applyFont="1" applyAlignment="1">
      <alignment horizontal="center"/>
    </xf>
    <xf numFmtId="0" fontId="5" fillId="0" borderId="14" xfId="0" applyFont="1" applyBorder="1" applyAlignment="1">
      <alignment/>
    </xf>
    <xf numFmtId="0" fontId="18" fillId="0" borderId="14" xfId="0" applyFont="1" applyBorder="1" applyAlignment="1">
      <alignment/>
    </xf>
    <xf numFmtId="3" fontId="6" fillId="0" borderId="0" xfId="0" applyNumberFormat="1" applyFont="1" applyAlignment="1" applyProtection="1">
      <alignment horizontal="center"/>
      <protection/>
    </xf>
    <xf numFmtId="0" fontId="18" fillId="0" borderId="15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3" fontId="5" fillId="0" borderId="0" xfId="0" applyNumberFormat="1" applyFont="1" applyAlignment="1" applyProtection="1">
      <alignment horizontal="right"/>
      <protection/>
    </xf>
    <xf numFmtId="3" fontId="6" fillId="0" borderId="0" xfId="0" applyNumberFormat="1" applyFont="1" applyAlignment="1" applyProtection="1">
      <alignment/>
      <protection/>
    </xf>
    <xf numFmtId="0" fontId="6" fillId="0" borderId="0" xfId="0" applyFont="1" applyAlignment="1">
      <alignment horizontal="right"/>
    </xf>
    <xf numFmtId="3" fontId="5" fillId="0" borderId="0" xfId="0" applyNumberFormat="1" applyFont="1" applyBorder="1" applyAlignment="1" applyProtection="1">
      <alignment/>
      <protection/>
    </xf>
    <xf numFmtId="0" fontId="5" fillId="0" borderId="0" xfId="0" applyFont="1" applyAlignment="1">
      <alignment horizontal="left"/>
    </xf>
    <xf numFmtId="38" fontId="5" fillId="0" borderId="16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Fill="1" applyAlignment="1">
      <alignment/>
    </xf>
    <xf numFmtId="38" fontId="5" fillId="0" borderId="0" xfId="0" applyNumberFormat="1" applyFont="1" applyFill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3" fontId="6" fillId="0" borderId="0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right"/>
    </xf>
    <xf numFmtId="3" fontId="6" fillId="0" borderId="13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19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1" fontId="8" fillId="0" borderId="18" xfId="0" applyNumberFormat="1" applyFont="1" applyBorder="1" applyAlignment="1">
      <alignment horizontal="center"/>
    </xf>
    <xf numFmtId="3" fontId="19" fillId="0" borderId="0" xfId="0" applyNumberFormat="1" applyFont="1" applyBorder="1" applyAlignment="1" applyProtection="1">
      <alignment horizontal="right"/>
      <protection/>
    </xf>
    <xf numFmtId="3" fontId="19" fillId="0" borderId="18" xfId="0" applyNumberFormat="1" applyFont="1" applyBorder="1" applyAlignment="1" applyProtection="1">
      <alignment horizontal="right"/>
      <protection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right"/>
    </xf>
    <xf numFmtId="3" fontId="19" fillId="0" borderId="10" xfId="0" applyNumberFormat="1" applyFont="1" applyBorder="1" applyAlignment="1" applyProtection="1">
      <alignment horizontal="right"/>
      <protection/>
    </xf>
    <xf numFmtId="3" fontId="19" fillId="0" borderId="19" xfId="0" applyNumberFormat="1" applyFont="1" applyBorder="1" applyAlignment="1" applyProtection="1">
      <alignment horizontal="right"/>
      <protection/>
    </xf>
    <xf numFmtId="3" fontId="19" fillId="0" borderId="0" xfId="0" applyNumberFormat="1" applyFont="1" applyBorder="1" applyAlignment="1">
      <alignment/>
    </xf>
    <xf numFmtId="3" fontId="19" fillId="0" borderId="18" xfId="0" applyNumberFormat="1" applyFont="1" applyBorder="1" applyAlignment="1">
      <alignment/>
    </xf>
    <xf numFmtId="9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6" fillId="0" borderId="14" xfId="0" applyFont="1" applyBorder="1" applyAlignment="1">
      <alignment/>
    </xf>
    <xf numFmtId="3" fontId="5" fillId="0" borderId="14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/>
    </xf>
    <xf numFmtId="0" fontId="5" fillId="0" borderId="14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3" fontId="6" fillId="0" borderId="1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165" fontId="5" fillId="0" borderId="0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6" fillId="0" borderId="17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3" fontId="6" fillId="0" borderId="20" xfId="0" applyNumberFormat="1" applyFont="1" applyBorder="1" applyAlignment="1">
      <alignment/>
    </xf>
    <xf numFmtId="0" fontId="8" fillId="0" borderId="0" xfId="0" applyFont="1" applyAlignment="1">
      <alignment horizontal="center"/>
    </xf>
    <xf numFmtId="3" fontId="8" fillId="0" borderId="0" xfId="0" applyNumberFormat="1" applyFont="1" applyAlignment="1">
      <alignment horizontal="center"/>
    </xf>
    <xf numFmtId="0" fontId="8" fillId="0" borderId="11" xfId="0" applyFont="1" applyBorder="1" applyAlignment="1">
      <alignment horizontal="center"/>
    </xf>
    <xf numFmtId="37" fontId="56" fillId="0" borderId="13" xfId="0" applyNumberFormat="1" applyFont="1" applyBorder="1" applyAlignment="1">
      <alignment/>
    </xf>
    <xf numFmtId="38" fontId="5" fillId="0" borderId="21" xfId="0" applyNumberFormat="1" applyFont="1" applyBorder="1" applyAlignment="1">
      <alignment/>
    </xf>
    <xf numFmtId="0" fontId="8" fillId="0" borderId="22" xfId="0" applyFont="1" applyBorder="1" applyAlignment="1">
      <alignment horizontal="center"/>
    </xf>
    <xf numFmtId="38" fontId="5" fillId="0" borderId="22" xfId="0" applyNumberFormat="1" applyFont="1" applyBorder="1" applyAlignment="1">
      <alignment/>
    </xf>
    <xf numFmtId="0" fontId="5" fillId="0" borderId="23" xfId="0" applyFont="1" applyBorder="1" applyAlignment="1">
      <alignment/>
    </xf>
    <xf numFmtId="38" fontId="5" fillId="0" borderId="23" xfId="0" applyNumberFormat="1" applyFont="1" applyBorder="1" applyAlignment="1">
      <alignment/>
    </xf>
    <xf numFmtId="0" fontId="5" fillId="0" borderId="22" xfId="0" applyFont="1" applyBorder="1" applyAlignment="1">
      <alignment/>
    </xf>
    <xf numFmtId="3" fontId="6" fillId="0" borderId="0" xfId="0" applyNumberFormat="1" applyFont="1" applyBorder="1" applyAlignment="1" applyProtection="1">
      <alignment/>
      <protection/>
    </xf>
    <xf numFmtId="3" fontId="5" fillId="0" borderId="11" xfId="0" applyNumberFormat="1" applyFont="1" applyBorder="1" applyAlignment="1" applyProtection="1">
      <alignment/>
      <protection/>
    </xf>
    <xf numFmtId="3" fontId="5" fillId="0" borderId="0" xfId="0" applyNumberFormat="1" applyFont="1" applyBorder="1" applyAlignment="1">
      <alignment/>
    </xf>
    <xf numFmtId="3" fontId="5" fillId="0" borderId="18" xfId="0" applyNumberFormat="1" applyFont="1" applyBorder="1" applyAlignment="1" applyProtection="1">
      <alignment/>
      <protection/>
    </xf>
    <xf numFmtId="3" fontId="5" fillId="0" borderId="13" xfId="0" applyNumberFormat="1" applyFont="1" applyBorder="1" applyAlignment="1">
      <alignment/>
    </xf>
    <xf numFmtId="0" fontId="5" fillId="0" borderId="13" xfId="0" applyFont="1" applyBorder="1" applyAlignment="1">
      <alignment/>
    </xf>
    <xf numFmtId="38" fontId="5" fillId="0" borderId="18" xfId="0" applyNumberFormat="1" applyFont="1" applyBorder="1" applyAlignment="1">
      <alignment/>
    </xf>
    <xf numFmtId="164" fontId="6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38" fontId="5" fillId="0" borderId="14" xfId="0" applyNumberFormat="1" applyFont="1" applyBorder="1" applyAlignment="1">
      <alignment/>
    </xf>
    <xf numFmtId="38" fontId="5" fillId="0" borderId="24" xfId="0" applyNumberFormat="1" applyFont="1" applyBorder="1" applyAlignment="1">
      <alignment/>
    </xf>
    <xf numFmtId="38" fontId="5" fillId="0" borderId="25" xfId="0" applyNumberFormat="1" applyFont="1" applyBorder="1" applyAlignment="1">
      <alignment/>
    </xf>
    <xf numFmtId="0" fontId="8" fillId="0" borderId="14" xfId="0" applyFont="1" applyBorder="1" applyAlignment="1">
      <alignment horizontal="center"/>
    </xf>
    <xf numFmtId="38" fontId="5" fillId="0" borderId="26" xfId="0" applyNumberFormat="1" applyFont="1" applyBorder="1" applyAlignment="1">
      <alignment/>
    </xf>
    <xf numFmtId="38" fontId="5" fillId="0" borderId="27" xfId="0" applyNumberFormat="1" applyFont="1" applyBorder="1" applyAlignment="1">
      <alignment/>
    </xf>
    <xf numFmtId="38" fontId="5" fillId="0" borderId="20" xfId="0" applyNumberFormat="1" applyFont="1" applyBorder="1" applyAlignment="1">
      <alignment/>
    </xf>
    <xf numFmtId="0" fontId="19" fillId="0" borderId="0" xfId="0" applyFont="1" applyAlignment="1">
      <alignment horizontal="center" wrapText="1"/>
    </xf>
    <xf numFmtId="0" fontId="6" fillId="0" borderId="14" xfId="0" applyFont="1" applyBorder="1" applyAlignment="1">
      <alignment horizontal="center"/>
    </xf>
    <xf numFmtId="38" fontId="5" fillId="0" borderId="14" xfId="0" applyNumberFormat="1" applyFont="1" applyFill="1" applyBorder="1" applyAlignment="1">
      <alignment/>
    </xf>
    <xf numFmtId="0" fontId="6" fillId="0" borderId="22" xfId="0" applyFont="1" applyBorder="1" applyAlignment="1">
      <alignment horizontal="center"/>
    </xf>
    <xf numFmtId="38" fontId="5" fillId="0" borderId="22" xfId="0" applyNumberFormat="1" applyFont="1" applyFill="1" applyBorder="1" applyAlignment="1">
      <alignment/>
    </xf>
    <xf numFmtId="38" fontId="5" fillId="0" borderId="0" xfId="0" applyNumberFormat="1" applyFont="1" applyFill="1" applyBorder="1" applyAlignment="1">
      <alignment/>
    </xf>
    <xf numFmtId="0" fontId="19" fillId="0" borderId="0" xfId="0" applyFont="1" applyBorder="1" applyAlignment="1">
      <alignment horizontal="center"/>
    </xf>
    <xf numFmtId="38" fontId="5" fillId="0" borderId="28" xfId="0" applyNumberFormat="1" applyFont="1" applyBorder="1" applyAlignment="1">
      <alignment/>
    </xf>
    <xf numFmtId="0" fontId="19" fillId="0" borderId="14" xfId="0" applyFont="1" applyBorder="1" applyAlignment="1">
      <alignment horizontal="center" wrapText="1"/>
    </xf>
    <xf numFmtId="0" fontId="5" fillId="0" borderId="14" xfId="0" applyFont="1" applyFill="1" applyBorder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3" fontId="5" fillId="0" borderId="0" xfId="0" applyNumberFormat="1" applyFont="1" applyBorder="1" applyAlignment="1">
      <alignment horizontal="right"/>
    </xf>
    <xf numFmtId="3" fontId="5" fillId="0" borderId="13" xfId="0" applyNumberFormat="1" applyFont="1" applyBorder="1" applyAlignment="1">
      <alignment horizontal="right"/>
    </xf>
    <xf numFmtId="3" fontId="5" fillId="0" borderId="29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/>
    </xf>
    <xf numFmtId="3" fontId="5" fillId="0" borderId="14" xfId="0" applyNumberFormat="1" applyFont="1" applyBorder="1" applyAlignment="1">
      <alignment horizontal="right"/>
    </xf>
    <xf numFmtId="3" fontId="5" fillId="0" borderId="21" xfId="0" applyNumberFormat="1" applyFont="1" applyBorder="1" applyAlignment="1">
      <alignment horizontal="right"/>
    </xf>
    <xf numFmtId="3" fontId="12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0" fontId="12" fillId="0" borderId="14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4" fillId="0" borderId="22" xfId="0" applyFont="1" applyBorder="1" applyAlignment="1">
      <alignment/>
    </xf>
    <xf numFmtId="3" fontId="6" fillId="0" borderId="22" xfId="0" applyNumberFormat="1" applyFont="1" applyBorder="1" applyAlignment="1">
      <alignment/>
    </xf>
    <xf numFmtId="9" fontId="6" fillId="0" borderId="22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0" fontId="5" fillId="0" borderId="22" xfId="0" applyFont="1" applyBorder="1" applyAlignment="1">
      <alignment/>
    </xf>
    <xf numFmtId="0" fontId="6" fillId="0" borderId="22" xfId="0" applyFont="1" applyBorder="1" applyAlignment="1">
      <alignment/>
    </xf>
    <xf numFmtId="165" fontId="6" fillId="0" borderId="22" xfId="0" applyNumberFormat="1" applyFont="1" applyBorder="1" applyAlignment="1">
      <alignment/>
    </xf>
    <xf numFmtId="3" fontId="6" fillId="0" borderId="22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0" fontId="3" fillId="0" borderId="29" xfId="0" applyFont="1" applyBorder="1" applyAlignment="1">
      <alignment/>
    </xf>
    <xf numFmtId="0" fontId="6" fillId="0" borderId="22" xfId="0" applyFont="1" applyBorder="1" applyAlignment="1">
      <alignment horizontal="right"/>
    </xf>
    <xf numFmtId="0" fontId="5" fillId="0" borderId="22" xfId="0" applyFont="1" applyBorder="1" applyAlignment="1">
      <alignment horizontal="right"/>
    </xf>
    <xf numFmtId="0" fontId="8" fillId="0" borderId="22" xfId="0" applyFont="1" applyBorder="1" applyAlignment="1">
      <alignment horizontal="center"/>
    </xf>
    <xf numFmtId="3" fontId="6" fillId="0" borderId="30" xfId="0" applyNumberFormat="1" applyFont="1" applyBorder="1" applyAlignment="1">
      <alignment/>
    </xf>
    <xf numFmtId="3" fontId="6" fillId="0" borderId="23" xfId="0" applyNumberFormat="1" applyFont="1" applyBorder="1" applyAlignment="1">
      <alignment horizontal="right"/>
    </xf>
    <xf numFmtId="3" fontId="3" fillId="0" borderId="22" xfId="0" applyNumberFormat="1" applyFont="1" applyBorder="1" applyAlignment="1">
      <alignment/>
    </xf>
    <xf numFmtId="0" fontId="8" fillId="0" borderId="30" xfId="0" applyFont="1" applyBorder="1" applyAlignment="1">
      <alignment horizontal="center"/>
    </xf>
    <xf numFmtId="0" fontId="19" fillId="0" borderId="22" xfId="0" applyFont="1" applyBorder="1" applyAlignment="1">
      <alignment/>
    </xf>
    <xf numFmtId="3" fontId="19" fillId="0" borderId="22" xfId="0" applyNumberFormat="1" applyFont="1" applyBorder="1" applyAlignment="1">
      <alignment/>
    </xf>
    <xf numFmtId="3" fontId="19" fillId="0" borderId="31" xfId="0" applyNumberFormat="1" applyFont="1" applyBorder="1" applyAlignment="1" applyProtection="1">
      <alignment horizontal="right"/>
      <protection/>
    </xf>
    <xf numFmtId="3" fontId="6" fillId="0" borderId="23" xfId="0" applyNumberFormat="1" applyFont="1" applyBorder="1" applyAlignment="1">
      <alignment/>
    </xf>
    <xf numFmtId="3" fontId="12" fillId="0" borderId="22" xfId="0" applyNumberFormat="1" applyFont="1" applyBorder="1" applyAlignment="1">
      <alignment/>
    </xf>
    <xf numFmtId="3" fontId="19" fillId="0" borderId="22" xfId="0" applyNumberFormat="1" applyFont="1" applyBorder="1" applyAlignment="1" applyProtection="1">
      <alignment horizontal="right"/>
      <protection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right"/>
    </xf>
    <xf numFmtId="3" fontId="8" fillId="0" borderId="11" xfId="0" applyNumberFormat="1" applyFont="1" applyBorder="1" applyAlignment="1">
      <alignment horizontal="center"/>
    </xf>
    <xf numFmtId="3" fontId="8" fillId="0" borderId="17" xfId="0" applyNumberFormat="1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31" xfId="0" applyFont="1" applyBorder="1" applyAlignment="1">
      <alignment horizontal="right"/>
    </xf>
    <xf numFmtId="0" fontId="8" fillId="0" borderId="29" xfId="0" applyFont="1" applyBorder="1" applyAlignment="1">
      <alignment horizontal="center"/>
    </xf>
    <xf numFmtId="9" fontId="5" fillId="0" borderId="0" xfId="0" applyNumberFormat="1" applyFont="1" applyAlignment="1">
      <alignment/>
    </xf>
    <xf numFmtId="3" fontId="5" fillId="0" borderId="14" xfId="0" applyNumberFormat="1" applyFont="1" applyBorder="1" applyAlignment="1" applyProtection="1">
      <alignment/>
      <protection/>
    </xf>
    <xf numFmtId="3" fontId="6" fillId="0" borderId="14" xfId="0" applyNumberFormat="1" applyFont="1" applyBorder="1" applyAlignment="1" applyProtection="1">
      <alignment/>
      <protection/>
    </xf>
    <xf numFmtId="3" fontId="6" fillId="0" borderId="18" xfId="0" applyNumberFormat="1" applyFont="1" applyBorder="1" applyAlignment="1" applyProtection="1">
      <alignment/>
      <protection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 applyProtection="1">
      <alignment/>
      <protection/>
    </xf>
    <xf numFmtId="9" fontId="5" fillId="0" borderId="15" xfId="0" applyNumberFormat="1" applyFont="1" applyBorder="1" applyAlignment="1" applyProtection="1">
      <alignment/>
      <protection/>
    </xf>
    <xf numFmtId="9" fontId="5" fillId="0" borderId="10" xfId="0" applyNumberFormat="1" applyFont="1" applyBorder="1" applyAlignment="1" applyProtection="1">
      <alignment/>
      <protection/>
    </xf>
    <xf numFmtId="9" fontId="5" fillId="0" borderId="19" xfId="0" applyNumberFormat="1" applyFont="1" applyBorder="1" applyAlignment="1" applyProtection="1">
      <alignment/>
      <protection/>
    </xf>
    <xf numFmtId="9" fontId="5" fillId="0" borderId="31" xfId="0" applyNumberFormat="1" applyFont="1" applyBorder="1" applyAlignment="1" applyProtection="1">
      <alignment/>
      <protection/>
    </xf>
    <xf numFmtId="0" fontId="21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29" xfId="0" applyFont="1" applyBorder="1" applyAlignment="1">
      <alignment/>
    </xf>
    <xf numFmtId="0" fontId="4" fillId="0" borderId="14" xfId="0" applyFont="1" applyBorder="1" applyAlignment="1">
      <alignment/>
    </xf>
    <xf numFmtId="0" fontId="8" fillId="0" borderId="0" xfId="56" applyFont="1">
      <alignment/>
      <protection/>
    </xf>
    <xf numFmtId="0" fontId="19" fillId="0" borderId="0" xfId="56" applyFont="1">
      <alignment/>
      <protection/>
    </xf>
    <xf numFmtId="0" fontId="4" fillId="0" borderId="0" xfId="56" applyFont="1">
      <alignment/>
      <protection/>
    </xf>
    <xf numFmtId="0" fontId="3" fillId="0" borderId="0" xfId="56" applyFont="1">
      <alignment/>
      <protection/>
    </xf>
    <xf numFmtId="37" fontId="4" fillId="0" borderId="0" xfId="0" applyNumberFormat="1" applyFont="1" applyBorder="1" applyAlignment="1">
      <alignment/>
    </xf>
    <xf numFmtId="37" fontId="4" fillId="0" borderId="13" xfId="0" applyNumberFormat="1" applyFont="1" applyBorder="1" applyAlignment="1">
      <alignment/>
    </xf>
    <xf numFmtId="0" fontId="7" fillId="0" borderId="14" xfId="0" applyFont="1" applyBorder="1" applyAlignment="1">
      <alignment horizontal="center"/>
    </xf>
    <xf numFmtId="0" fontId="4" fillId="0" borderId="14" xfId="0" applyFont="1" applyBorder="1" applyAlignment="1">
      <alignment/>
    </xf>
    <xf numFmtId="37" fontId="4" fillId="0" borderId="14" xfId="0" applyNumberFormat="1" applyFont="1" applyBorder="1" applyAlignment="1">
      <alignment/>
    </xf>
    <xf numFmtId="37" fontId="56" fillId="0" borderId="21" xfId="0" applyNumberFormat="1" applyFont="1" applyBorder="1" applyAlignment="1">
      <alignment/>
    </xf>
    <xf numFmtId="37" fontId="9" fillId="0" borderId="14" xfId="0" applyNumberFormat="1" applyFont="1" applyBorder="1" applyAlignment="1">
      <alignment/>
    </xf>
    <xf numFmtId="0" fontId="7" fillId="0" borderId="22" xfId="0" applyFont="1" applyBorder="1" applyAlignment="1">
      <alignment horizontal="center"/>
    </xf>
    <xf numFmtId="37" fontId="4" fillId="0" borderId="22" xfId="0" applyNumberFormat="1" applyFont="1" applyBorder="1" applyAlignment="1">
      <alignment/>
    </xf>
    <xf numFmtId="37" fontId="56" fillId="0" borderId="23" xfId="0" applyNumberFormat="1" applyFont="1" applyBorder="1" applyAlignment="1">
      <alignment/>
    </xf>
    <xf numFmtId="37" fontId="9" fillId="0" borderId="22" xfId="0" applyNumberFormat="1" applyFont="1" applyBorder="1" applyAlignment="1">
      <alignment/>
    </xf>
    <xf numFmtId="37" fontId="3" fillId="0" borderId="22" xfId="0" applyNumberFormat="1" applyFont="1" applyBorder="1" applyAlignment="1">
      <alignment/>
    </xf>
    <xf numFmtId="1" fontId="7" fillId="0" borderId="14" xfId="0" applyNumberFormat="1" applyFont="1" applyBorder="1" applyAlignment="1">
      <alignment horizontal="center"/>
    </xf>
    <xf numFmtId="1" fontId="7" fillId="0" borderId="22" xfId="0" applyNumberFormat="1" applyFont="1" applyBorder="1" applyAlignment="1">
      <alignment horizontal="center"/>
    </xf>
    <xf numFmtId="37" fontId="5" fillId="0" borderId="0" xfId="0" applyNumberFormat="1" applyFont="1" applyAlignment="1">
      <alignment/>
    </xf>
    <xf numFmtId="37" fontId="5" fillId="0" borderId="22" xfId="0" applyNumberFormat="1" applyFont="1" applyBorder="1" applyAlignment="1" applyProtection="1">
      <alignment/>
      <protection/>
    </xf>
    <xf numFmtId="37" fontId="5" fillId="0" borderId="14" xfId="0" applyNumberFormat="1" applyFont="1" applyBorder="1" applyAlignment="1">
      <alignment/>
    </xf>
    <xf numFmtId="37" fontId="5" fillId="0" borderId="0" xfId="0" applyNumberFormat="1" applyFont="1" applyBorder="1" applyAlignment="1" applyProtection="1">
      <alignment/>
      <protection/>
    </xf>
    <xf numFmtId="37" fontId="5" fillId="0" borderId="18" xfId="0" applyNumberFormat="1" applyFont="1" applyBorder="1" applyAlignment="1" applyProtection="1">
      <alignment/>
      <protection/>
    </xf>
    <xf numFmtId="37" fontId="5" fillId="0" borderId="13" xfId="0" applyNumberFormat="1" applyFont="1" applyBorder="1" applyAlignment="1">
      <alignment/>
    </xf>
    <xf numFmtId="37" fontId="5" fillId="0" borderId="23" xfId="0" applyNumberFormat="1" applyFont="1" applyBorder="1" applyAlignment="1">
      <alignment/>
    </xf>
    <xf numFmtId="37" fontId="5" fillId="0" borderId="21" xfId="0" applyNumberFormat="1" applyFont="1" applyBorder="1" applyAlignment="1" applyProtection="1">
      <alignment/>
      <protection/>
    </xf>
    <xf numFmtId="37" fontId="5" fillId="0" borderId="13" xfId="0" applyNumberFormat="1" applyFont="1" applyBorder="1" applyAlignment="1" applyProtection="1">
      <alignment/>
      <protection/>
    </xf>
    <xf numFmtId="37" fontId="5" fillId="0" borderId="20" xfId="0" applyNumberFormat="1" applyFont="1" applyBorder="1" applyAlignment="1" applyProtection="1">
      <alignment/>
      <protection/>
    </xf>
    <xf numFmtId="37" fontId="5" fillId="0" borderId="0" xfId="0" applyNumberFormat="1" applyFont="1" applyAlignment="1">
      <alignment horizontal="right"/>
    </xf>
    <xf numFmtId="37" fontId="6" fillId="0" borderId="22" xfId="0" applyNumberFormat="1" applyFont="1" applyBorder="1" applyAlignment="1" applyProtection="1">
      <alignment/>
      <protection/>
    </xf>
    <xf numFmtId="37" fontId="6" fillId="0" borderId="14" xfId="0" applyNumberFormat="1" applyFont="1" applyBorder="1" applyAlignment="1" applyProtection="1">
      <alignment/>
      <protection/>
    </xf>
    <xf numFmtId="37" fontId="6" fillId="0" borderId="0" xfId="0" applyNumberFormat="1" applyFont="1" applyAlignment="1" applyProtection="1">
      <alignment/>
      <protection/>
    </xf>
    <xf numFmtId="37" fontId="6" fillId="0" borderId="0" xfId="0" applyNumberFormat="1" applyFont="1" applyBorder="1" applyAlignment="1" applyProtection="1">
      <alignment/>
      <protection/>
    </xf>
    <xf numFmtId="37" fontId="6" fillId="0" borderId="18" xfId="0" applyNumberFormat="1" applyFont="1" applyBorder="1" applyAlignment="1" applyProtection="1">
      <alignment/>
      <protection/>
    </xf>
    <xf numFmtId="37" fontId="6" fillId="0" borderId="0" xfId="0" applyNumberFormat="1" applyFont="1" applyAlignment="1">
      <alignment horizontal="right"/>
    </xf>
    <xf numFmtId="37" fontId="5" fillId="0" borderId="13" xfId="0" applyNumberFormat="1" applyFont="1" applyBorder="1" applyAlignment="1">
      <alignment horizontal="right"/>
    </xf>
    <xf numFmtId="37" fontId="5" fillId="0" borderId="23" xfId="0" applyNumberFormat="1" applyFont="1" applyBorder="1" applyAlignment="1">
      <alignment horizontal="right"/>
    </xf>
    <xf numFmtId="37" fontId="6" fillId="0" borderId="21" xfId="0" applyNumberFormat="1" applyFont="1" applyBorder="1" applyAlignment="1" applyProtection="1">
      <alignment/>
      <protection/>
    </xf>
    <xf numFmtId="37" fontId="6" fillId="0" borderId="13" xfId="0" applyNumberFormat="1" applyFont="1" applyBorder="1" applyAlignment="1" applyProtection="1">
      <alignment/>
      <protection/>
    </xf>
    <xf numFmtId="37" fontId="6" fillId="0" borderId="20" xfId="0" applyNumberFormat="1" applyFont="1" applyBorder="1" applyAlignment="1" applyProtection="1">
      <alignment/>
      <protection/>
    </xf>
    <xf numFmtId="37" fontId="6" fillId="0" borderId="22" xfId="0" applyNumberFormat="1" applyFont="1" applyBorder="1" applyAlignment="1">
      <alignment horizontal="right"/>
    </xf>
    <xf numFmtId="37" fontId="6" fillId="0" borderId="0" xfId="0" applyNumberFormat="1" applyFont="1" applyBorder="1" applyAlignment="1">
      <alignment/>
    </xf>
    <xf numFmtId="37" fontId="6" fillId="0" borderId="22" xfId="0" applyNumberFormat="1" applyFont="1" applyBorder="1" applyAlignment="1">
      <alignment/>
    </xf>
    <xf numFmtId="37" fontId="5" fillId="0" borderId="14" xfId="0" applyNumberFormat="1" applyFont="1" applyBorder="1" applyAlignment="1" applyProtection="1">
      <alignment/>
      <protection/>
    </xf>
    <xf numFmtId="37" fontId="5" fillId="0" borderId="20" xfId="0" applyNumberFormat="1" applyFont="1" applyBorder="1" applyAlignment="1">
      <alignment/>
    </xf>
    <xf numFmtId="37" fontId="5" fillId="0" borderId="0" xfId="0" applyNumberFormat="1" applyFont="1" applyAlignment="1" applyProtection="1">
      <alignment/>
      <protection/>
    </xf>
    <xf numFmtId="37" fontId="5" fillId="0" borderId="22" xfId="0" applyNumberFormat="1" applyFont="1" applyBorder="1" applyAlignment="1">
      <alignment/>
    </xf>
    <xf numFmtId="37" fontId="5" fillId="0" borderId="0" xfId="0" applyNumberFormat="1" applyFont="1" applyBorder="1" applyAlignment="1">
      <alignment/>
    </xf>
    <xf numFmtId="37" fontId="5" fillId="0" borderId="18" xfId="0" applyNumberFormat="1" applyFont="1" applyBorder="1" applyAlignment="1">
      <alignment/>
    </xf>
    <xf numFmtId="37" fontId="5" fillId="0" borderId="30" xfId="0" applyNumberFormat="1" applyFont="1" applyBorder="1" applyAlignment="1" applyProtection="1">
      <alignment/>
      <protection/>
    </xf>
    <xf numFmtId="37" fontId="5" fillId="0" borderId="11" xfId="0" applyNumberFormat="1" applyFont="1" applyBorder="1" applyAlignment="1" applyProtection="1">
      <alignment/>
      <protection/>
    </xf>
    <xf numFmtId="37" fontId="5" fillId="0" borderId="29" xfId="0" applyNumberFormat="1" applyFont="1" applyBorder="1" applyAlignment="1" applyProtection="1">
      <alignment/>
      <protection/>
    </xf>
    <xf numFmtId="37" fontId="5" fillId="0" borderId="17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>
      <alignment horizontal="right"/>
    </xf>
    <xf numFmtId="37" fontId="5" fillId="0" borderId="0" xfId="0" applyNumberFormat="1" applyFont="1" applyAlignment="1">
      <alignment horizontal="left"/>
    </xf>
    <xf numFmtId="37" fontId="48" fillId="0" borderId="0" xfId="52" applyNumberFormat="1" applyAlignment="1" applyProtection="1">
      <alignment/>
      <protection/>
    </xf>
    <xf numFmtId="3" fontId="0" fillId="0" borderId="0" xfId="0" applyNumberFormat="1" applyAlignment="1">
      <alignment/>
    </xf>
    <xf numFmtId="0" fontId="13" fillId="0" borderId="0" xfId="0" applyFont="1" applyAlignment="1">
      <alignment/>
    </xf>
    <xf numFmtId="37" fontId="7" fillId="0" borderId="14" xfId="0" applyNumberFormat="1" applyFont="1" applyBorder="1" applyAlignment="1">
      <alignment horizontal="center"/>
    </xf>
    <xf numFmtId="37" fontId="4" fillId="0" borderId="22" xfId="0" applyNumberFormat="1" applyFont="1" applyBorder="1" applyAlignment="1">
      <alignment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37" fontId="6" fillId="0" borderId="14" xfId="0" applyNumberFormat="1" applyFont="1" applyBorder="1" applyAlignment="1">
      <alignment horizontal="right"/>
    </xf>
    <xf numFmtId="37" fontId="6" fillId="0" borderId="18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3:F28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5" width="9.140625" style="2" customWidth="1"/>
    <col min="6" max="6" width="9.140625" style="275" customWidth="1"/>
    <col min="7" max="16384" width="9.140625" style="2" customWidth="1"/>
  </cols>
  <sheetData>
    <row r="3" ht="18.75">
      <c r="F3" s="279" t="s">
        <v>283</v>
      </c>
    </row>
    <row r="11" ht="15.75">
      <c r="F11" s="276" t="s">
        <v>284</v>
      </c>
    </row>
    <row r="12" ht="15.75">
      <c r="F12" s="277" t="s">
        <v>295</v>
      </c>
    </row>
    <row r="13" ht="15.75">
      <c r="F13" s="276" t="s">
        <v>294</v>
      </c>
    </row>
    <row r="16" ht="12.75">
      <c r="F16" s="278" t="s">
        <v>289</v>
      </c>
    </row>
    <row r="17" ht="12.75">
      <c r="F17" s="275" t="s">
        <v>287</v>
      </c>
    </row>
    <row r="18" ht="12.75">
      <c r="F18" s="275" t="s">
        <v>288</v>
      </c>
    </row>
    <row r="19" ht="12.75">
      <c r="F19" s="275" t="s">
        <v>285</v>
      </c>
    </row>
    <row r="20" ht="12.75">
      <c r="F20" s="2"/>
    </row>
    <row r="21" ht="12.75">
      <c r="F21" s="275" t="s">
        <v>290</v>
      </c>
    </row>
    <row r="22" ht="12.75">
      <c r="F22" s="275" t="s">
        <v>291</v>
      </c>
    </row>
    <row r="23" ht="12.75">
      <c r="F23" s="2"/>
    </row>
    <row r="24" ht="12.75">
      <c r="F24" s="275" t="s">
        <v>292</v>
      </c>
    </row>
    <row r="25" ht="12.75">
      <c r="F25" s="275" t="s">
        <v>293</v>
      </c>
    </row>
    <row r="28" ht="12.75">
      <c r="F28" s="275" t="s">
        <v>286</v>
      </c>
    </row>
  </sheetData>
  <sheetProtection/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24"/>
  <sheetViews>
    <sheetView zoomScalePageLayoutView="0" workbookViewId="0" topLeftCell="A1">
      <selection activeCell="N10" sqref="N10"/>
    </sheetView>
  </sheetViews>
  <sheetFormatPr defaultColWidth="9.140625" defaultRowHeight="12.75"/>
  <cols>
    <col min="1" max="1" width="3.7109375" style="2" customWidth="1"/>
    <col min="2" max="2" width="3.421875" style="2" customWidth="1"/>
    <col min="3" max="3" width="25.7109375" style="3" customWidth="1"/>
    <col min="4" max="13" width="7.421875" style="3" customWidth="1"/>
    <col min="14" max="26" width="9.8515625" style="3" customWidth="1"/>
    <col min="27" max="30" width="10.421875" style="2" customWidth="1"/>
    <col min="31" max="16384" width="9.140625" style="2" customWidth="1"/>
  </cols>
  <sheetData>
    <row r="1" ht="15.75">
      <c r="A1" s="17" t="s">
        <v>277</v>
      </c>
    </row>
    <row r="3" ht="12.75">
      <c r="B3" s="1" t="s">
        <v>118</v>
      </c>
    </row>
    <row r="4" spans="3:30" ht="12.75">
      <c r="C4" s="4" t="s">
        <v>186</v>
      </c>
      <c r="D4" s="8">
        <v>99</v>
      </c>
      <c r="E4" s="8">
        <v>99</v>
      </c>
      <c r="F4" s="8">
        <v>99</v>
      </c>
      <c r="G4" s="8">
        <v>99</v>
      </c>
      <c r="H4" s="8">
        <v>99</v>
      </c>
      <c r="I4" s="8">
        <v>99</v>
      </c>
      <c r="J4" s="8">
        <v>99</v>
      </c>
      <c r="K4" s="8">
        <v>99</v>
      </c>
      <c r="L4" s="8">
        <v>99</v>
      </c>
      <c r="M4" s="8">
        <v>99</v>
      </c>
      <c r="N4" s="8">
        <v>99</v>
      </c>
      <c r="O4" s="8">
        <v>99</v>
      </c>
      <c r="P4" s="8">
        <v>99</v>
      </c>
      <c r="Q4" s="8">
        <v>99</v>
      </c>
      <c r="R4" s="8">
        <v>99</v>
      </c>
      <c r="S4" s="8">
        <v>99</v>
      </c>
      <c r="T4" s="8">
        <v>99</v>
      </c>
      <c r="U4" s="8">
        <v>99</v>
      </c>
      <c r="V4" s="8">
        <v>99</v>
      </c>
      <c r="W4" s="8">
        <v>99</v>
      </c>
      <c r="X4" s="8">
        <v>99</v>
      </c>
      <c r="Y4" s="8">
        <v>99</v>
      </c>
      <c r="Z4" s="8">
        <v>99</v>
      </c>
      <c r="AA4" s="8">
        <v>99</v>
      </c>
      <c r="AB4" s="8">
        <v>99</v>
      </c>
      <c r="AC4" s="8">
        <v>99</v>
      </c>
      <c r="AD4" s="8">
        <v>99</v>
      </c>
    </row>
    <row r="5" spans="3:30" ht="12.75">
      <c r="C5" s="4" t="s">
        <v>185</v>
      </c>
      <c r="D5" s="8">
        <v>12</v>
      </c>
      <c r="E5" s="8">
        <v>12</v>
      </c>
      <c r="F5" s="8">
        <v>12</v>
      </c>
      <c r="G5" s="8">
        <v>12</v>
      </c>
      <c r="H5" s="8">
        <v>12</v>
      </c>
      <c r="I5" s="8">
        <v>12</v>
      </c>
      <c r="J5" s="8">
        <v>12</v>
      </c>
      <c r="K5" s="8">
        <v>12</v>
      </c>
      <c r="L5" s="8">
        <v>12</v>
      </c>
      <c r="M5" s="8">
        <v>12</v>
      </c>
      <c r="N5" s="8">
        <v>12</v>
      </c>
      <c r="O5" s="8">
        <v>12</v>
      </c>
      <c r="P5" s="8">
        <v>12</v>
      </c>
      <c r="Q5" s="8">
        <v>12</v>
      </c>
      <c r="R5" s="8">
        <v>12</v>
      </c>
      <c r="S5" s="8">
        <v>12</v>
      </c>
      <c r="T5" s="8">
        <v>12</v>
      </c>
      <c r="U5" s="8">
        <v>12</v>
      </c>
      <c r="V5" s="8">
        <v>12</v>
      </c>
      <c r="W5" s="8">
        <v>12</v>
      </c>
      <c r="X5" s="8">
        <v>12</v>
      </c>
      <c r="Y5" s="8">
        <v>12</v>
      </c>
      <c r="Z5" s="8">
        <v>12</v>
      </c>
      <c r="AA5" s="8">
        <v>12</v>
      </c>
      <c r="AB5" s="8">
        <v>12</v>
      </c>
      <c r="AC5" s="8">
        <v>12</v>
      </c>
      <c r="AD5" s="8">
        <v>12</v>
      </c>
    </row>
    <row r="6" spans="3:30" ht="12.75">
      <c r="C6" s="4" t="s">
        <v>116</v>
      </c>
      <c r="D6" s="8">
        <v>24</v>
      </c>
      <c r="E6" s="8">
        <v>24</v>
      </c>
      <c r="F6" s="8">
        <v>24</v>
      </c>
      <c r="G6" s="8">
        <v>24</v>
      </c>
      <c r="H6" s="8">
        <v>24</v>
      </c>
      <c r="I6" s="8">
        <v>24</v>
      </c>
      <c r="J6" s="8">
        <v>24</v>
      </c>
      <c r="K6" s="8">
        <v>24</v>
      </c>
      <c r="L6" s="8">
        <v>24</v>
      </c>
      <c r="M6" s="8">
        <v>24</v>
      </c>
      <c r="N6" s="8">
        <v>24</v>
      </c>
      <c r="O6" s="8">
        <v>24</v>
      </c>
      <c r="P6" s="8">
        <v>24</v>
      </c>
      <c r="Q6" s="8">
        <v>24</v>
      </c>
      <c r="R6" s="8">
        <v>24</v>
      </c>
      <c r="S6" s="8">
        <v>24</v>
      </c>
      <c r="T6" s="8">
        <v>24</v>
      </c>
      <c r="U6" s="8">
        <v>24</v>
      </c>
      <c r="V6" s="8">
        <v>24</v>
      </c>
      <c r="W6" s="8">
        <v>24</v>
      </c>
      <c r="X6" s="8">
        <v>24</v>
      </c>
      <c r="Y6" s="8">
        <v>24</v>
      </c>
      <c r="Z6" s="8">
        <v>24</v>
      </c>
      <c r="AA6" s="8">
        <v>24</v>
      </c>
      <c r="AB6" s="8">
        <v>24</v>
      </c>
      <c r="AC6" s="8">
        <v>24</v>
      </c>
      <c r="AD6" s="8">
        <v>24</v>
      </c>
    </row>
    <row r="7" spans="3:30" ht="12.75">
      <c r="C7" s="4" t="s">
        <v>222</v>
      </c>
      <c r="D7" s="8">
        <v>249</v>
      </c>
      <c r="E7" s="8">
        <v>249</v>
      </c>
      <c r="F7" s="8">
        <v>249</v>
      </c>
      <c r="G7" s="8">
        <v>249</v>
      </c>
      <c r="H7" s="8">
        <v>249</v>
      </c>
      <c r="I7" s="8">
        <v>249</v>
      </c>
      <c r="J7" s="8">
        <v>249</v>
      </c>
      <c r="K7" s="8">
        <v>249</v>
      </c>
      <c r="L7" s="8">
        <v>249</v>
      </c>
      <c r="M7" s="8">
        <v>249</v>
      </c>
      <c r="N7" s="8">
        <v>249</v>
      </c>
      <c r="O7" s="8">
        <v>249</v>
      </c>
      <c r="P7" s="8">
        <v>249</v>
      </c>
      <c r="Q7" s="8">
        <v>249</v>
      </c>
      <c r="R7" s="8">
        <v>249</v>
      </c>
      <c r="S7" s="8">
        <v>249</v>
      </c>
      <c r="T7" s="8">
        <v>249</v>
      </c>
      <c r="U7" s="8">
        <v>249</v>
      </c>
      <c r="V7" s="8">
        <v>249</v>
      </c>
      <c r="W7" s="8">
        <v>249</v>
      </c>
      <c r="X7" s="8">
        <v>249</v>
      </c>
      <c r="Y7" s="8">
        <v>249</v>
      </c>
      <c r="Z7" s="8">
        <v>249</v>
      </c>
      <c r="AA7" s="8">
        <v>249</v>
      </c>
      <c r="AB7" s="8">
        <v>249</v>
      </c>
      <c r="AC7" s="8">
        <v>249</v>
      </c>
      <c r="AD7" s="8">
        <v>249</v>
      </c>
    </row>
    <row r="8" spans="3:30" ht="12.75">
      <c r="C8" s="4" t="s">
        <v>221</v>
      </c>
      <c r="D8" s="8">
        <v>12000</v>
      </c>
      <c r="E8" s="8">
        <v>12000</v>
      </c>
      <c r="F8" s="8">
        <v>12000</v>
      </c>
      <c r="G8" s="8">
        <v>12000</v>
      </c>
      <c r="H8" s="8">
        <v>12000</v>
      </c>
      <c r="I8" s="8">
        <v>12000</v>
      </c>
      <c r="J8" s="8">
        <v>12000</v>
      </c>
      <c r="K8" s="8">
        <v>12000</v>
      </c>
      <c r="L8" s="8">
        <v>12000</v>
      </c>
      <c r="M8" s="8">
        <v>12000</v>
      </c>
      <c r="N8" s="8">
        <v>12000</v>
      </c>
      <c r="O8" s="8">
        <v>12000</v>
      </c>
      <c r="P8" s="8">
        <v>12000</v>
      </c>
      <c r="Q8" s="8">
        <v>12000</v>
      </c>
      <c r="R8" s="8">
        <v>12000</v>
      </c>
      <c r="S8" s="8">
        <v>12000</v>
      </c>
      <c r="T8" s="8">
        <v>12000</v>
      </c>
      <c r="U8" s="8">
        <v>12000</v>
      </c>
      <c r="V8" s="8">
        <v>12000</v>
      </c>
      <c r="W8" s="8">
        <v>12000</v>
      </c>
      <c r="X8" s="8">
        <v>12000</v>
      </c>
      <c r="Y8" s="8">
        <v>12000</v>
      </c>
      <c r="Z8" s="8">
        <v>12000</v>
      </c>
      <c r="AA8" s="8">
        <v>12000</v>
      </c>
      <c r="AB8" s="8">
        <v>12000</v>
      </c>
      <c r="AC8" s="8">
        <v>12000</v>
      </c>
      <c r="AD8" s="8">
        <v>12000</v>
      </c>
    </row>
    <row r="9" spans="3:30" ht="12.75">
      <c r="C9" s="4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3:26" ht="12.75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4:31" ht="12.75">
      <c r="D11" s="162" t="s">
        <v>189</v>
      </c>
      <c r="E11" s="163" t="s">
        <v>190</v>
      </c>
      <c r="F11" s="163" t="s">
        <v>191</v>
      </c>
      <c r="G11" s="163" t="s">
        <v>192</v>
      </c>
      <c r="H11" s="163" t="s">
        <v>193</v>
      </c>
      <c r="I11" s="163" t="s">
        <v>194</v>
      </c>
      <c r="J11" s="163" t="s">
        <v>195</v>
      </c>
      <c r="K11" s="163" t="s">
        <v>196</v>
      </c>
      <c r="L11" s="163" t="s">
        <v>197</v>
      </c>
      <c r="M11" s="163" t="s">
        <v>198</v>
      </c>
      <c r="N11" s="165" t="s">
        <v>164</v>
      </c>
      <c r="O11" s="164" t="s">
        <v>223</v>
      </c>
      <c r="P11" s="164" t="s">
        <v>224</v>
      </c>
      <c r="Q11" s="164" t="s">
        <v>189</v>
      </c>
      <c r="R11" s="164" t="s">
        <v>190</v>
      </c>
      <c r="S11" s="164" t="s">
        <v>191</v>
      </c>
      <c r="T11" s="164" t="s">
        <v>192</v>
      </c>
      <c r="U11" s="164" t="s">
        <v>210</v>
      </c>
      <c r="V11" s="164" t="s">
        <v>194</v>
      </c>
      <c r="W11" s="164" t="s">
        <v>195</v>
      </c>
      <c r="X11" s="164" t="s">
        <v>196</v>
      </c>
      <c r="Y11" s="164" t="s">
        <v>197</v>
      </c>
      <c r="Z11" s="164" t="s">
        <v>198</v>
      </c>
      <c r="AA11" s="165" t="s">
        <v>165</v>
      </c>
      <c r="AB11" s="12" t="s">
        <v>166</v>
      </c>
      <c r="AC11" s="13" t="s">
        <v>167</v>
      </c>
      <c r="AD11" s="13" t="s">
        <v>168</v>
      </c>
      <c r="AE11" s="6"/>
    </row>
    <row r="12" spans="1:27" ht="15">
      <c r="A12" s="11" t="s">
        <v>119</v>
      </c>
      <c r="D12" s="161" t="s">
        <v>201</v>
      </c>
      <c r="E12" s="93"/>
      <c r="F12" s="93"/>
      <c r="G12" s="93"/>
      <c r="H12" s="93"/>
      <c r="I12" s="93"/>
      <c r="J12" s="93"/>
      <c r="K12" s="160" t="s">
        <v>203</v>
      </c>
      <c r="L12" s="93"/>
      <c r="M12" s="93"/>
      <c r="N12" s="170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166"/>
    </row>
    <row r="13" spans="2:27" ht="15">
      <c r="B13" s="11" t="s">
        <v>112</v>
      </c>
      <c r="D13" s="94"/>
      <c r="E13" s="93"/>
      <c r="F13" s="93"/>
      <c r="G13" s="93"/>
      <c r="H13" s="93"/>
      <c r="I13" s="93"/>
      <c r="J13" s="93"/>
      <c r="K13" s="93"/>
      <c r="L13" s="93"/>
      <c r="M13" s="93"/>
      <c r="N13" s="170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166"/>
    </row>
    <row r="14" spans="3:31" ht="12.75">
      <c r="C14" s="7" t="s">
        <v>179</v>
      </c>
      <c r="D14" s="95"/>
      <c r="E14" s="70"/>
      <c r="F14" s="70"/>
      <c r="G14" s="70"/>
      <c r="H14" s="70"/>
      <c r="I14" s="70"/>
      <c r="J14" s="70"/>
      <c r="K14" s="70"/>
      <c r="L14" s="70"/>
      <c r="M14" s="70"/>
      <c r="N14" s="171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166"/>
      <c r="AE14" s="8"/>
    </row>
    <row r="15" spans="3:31" ht="12.75">
      <c r="C15" s="4" t="s">
        <v>115</v>
      </c>
      <c r="D15" s="96"/>
      <c r="E15" s="97"/>
      <c r="F15" s="97"/>
      <c r="G15" s="97"/>
      <c r="H15" s="97"/>
      <c r="I15" s="97"/>
      <c r="J15" s="97"/>
      <c r="K15" s="97">
        <v>50000</v>
      </c>
      <c r="L15" s="97">
        <v>50000</v>
      </c>
      <c r="M15" s="97">
        <v>50000</v>
      </c>
      <c r="N15" s="167">
        <v>50000</v>
      </c>
      <c r="O15" s="97">
        <v>50000</v>
      </c>
      <c r="P15" s="97">
        <v>50000</v>
      </c>
      <c r="Q15" s="97">
        <v>50000</v>
      </c>
      <c r="R15" s="97">
        <v>50000</v>
      </c>
      <c r="S15" s="97">
        <v>50000</v>
      </c>
      <c r="T15" s="97">
        <v>50000</v>
      </c>
      <c r="U15" s="97">
        <v>50000</v>
      </c>
      <c r="V15" s="97">
        <v>50000</v>
      </c>
      <c r="W15" s="97">
        <v>50000</v>
      </c>
      <c r="X15" s="97">
        <v>50000</v>
      </c>
      <c r="Y15" s="97">
        <v>50000</v>
      </c>
      <c r="Z15" s="97">
        <v>50000</v>
      </c>
      <c r="AA15" s="167">
        <v>50000</v>
      </c>
      <c r="AB15" s="8">
        <f>AA15+3000</f>
        <v>53000</v>
      </c>
      <c r="AC15" s="8">
        <f>AB15+3000</f>
        <v>56000</v>
      </c>
      <c r="AD15" s="8">
        <f>AC15+3000</f>
        <v>59000</v>
      </c>
      <c r="AE15" s="8"/>
    </row>
    <row r="16" spans="3:31" ht="12.75">
      <c r="C16" s="4" t="s">
        <v>208</v>
      </c>
      <c r="D16" s="96"/>
      <c r="E16" s="97"/>
      <c r="F16" s="97"/>
      <c r="G16" s="97"/>
      <c r="H16" s="97"/>
      <c r="I16" s="97"/>
      <c r="J16" s="97"/>
      <c r="K16" s="98">
        <v>0.005</v>
      </c>
      <c r="L16" s="98">
        <v>0.005</v>
      </c>
      <c r="M16" s="98">
        <v>0.005</v>
      </c>
      <c r="N16" s="172">
        <f>SUM(K16:M16)</f>
        <v>0.015</v>
      </c>
      <c r="O16" s="107">
        <v>0.01</v>
      </c>
      <c r="P16" s="107">
        <v>0.01</v>
      </c>
      <c r="Q16" s="107">
        <v>0.01</v>
      </c>
      <c r="R16" s="107">
        <v>0.01</v>
      </c>
      <c r="S16" s="107">
        <v>0.01</v>
      </c>
      <c r="T16" s="107">
        <v>0.01</v>
      </c>
      <c r="U16" s="107">
        <v>0.01</v>
      </c>
      <c r="V16" s="107">
        <v>0.01</v>
      </c>
      <c r="W16" s="107">
        <v>0.01</v>
      </c>
      <c r="X16" s="107">
        <v>0.01</v>
      </c>
      <c r="Y16" s="107">
        <v>0.01</v>
      </c>
      <c r="Z16" s="107">
        <v>0.01</v>
      </c>
      <c r="AA16" s="168">
        <f>SUM(O16:Z16)</f>
        <v>0.11999999999999998</v>
      </c>
      <c r="AB16" s="92">
        <v>0.15</v>
      </c>
      <c r="AC16" s="92">
        <v>0.15</v>
      </c>
      <c r="AD16" s="92">
        <v>0.15</v>
      </c>
      <c r="AE16" s="8"/>
    </row>
    <row r="17" spans="3:31" ht="12.75">
      <c r="C17" s="4" t="s">
        <v>121</v>
      </c>
      <c r="D17" s="99"/>
      <c r="E17" s="100"/>
      <c r="F17" s="100"/>
      <c r="G17" s="100"/>
      <c r="H17" s="100"/>
      <c r="I17" s="100"/>
      <c r="J17" s="100"/>
      <c r="K17" s="97">
        <f>K15*K16</f>
        <v>250</v>
      </c>
      <c r="L17" s="97">
        <f>L15*L16</f>
        <v>250</v>
      </c>
      <c r="M17" s="97">
        <f>M15*M16</f>
        <v>250</v>
      </c>
      <c r="N17" s="173">
        <f>SUM(K17:M17)</f>
        <v>750</v>
      </c>
      <c r="O17" s="104">
        <f>O15*O16</f>
        <v>500</v>
      </c>
      <c r="P17" s="104">
        <f aca="true" t="shared" si="0" ref="P17:Z17">P15*P16</f>
        <v>500</v>
      </c>
      <c r="Q17" s="104">
        <f t="shared" si="0"/>
        <v>500</v>
      </c>
      <c r="R17" s="104">
        <f t="shared" si="0"/>
        <v>500</v>
      </c>
      <c r="S17" s="104">
        <f t="shared" si="0"/>
        <v>500</v>
      </c>
      <c r="T17" s="104">
        <f t="shared" si="0"/>
        <v>500</v>
      </c>
      <c r="U17" s="104">
        <f t="shared" si="0"/>
        <v>500</v>
      </c>
      <c r="V17" s="104">
        <f t="shared" si="0"/>
        <v>500</v>
      </c>
      <c r="W17" s="104">
        <f t="shared" si="0"/>
        <v>500</v>
      </c>
      <c r="X17" s="104">
        <f t="shared" si="0"/>
        <v>500</v>
      </c>
      <c r="Y17" s="104">
        <f t="shared" si="0"/>
        <v>500</v>
      </c>
      <c r="Z17" s="104">
        <f t="shared" si="0"/>
        <v>500</v>
      </c>
      <c r="AA17" s="167">
        <f>SUM(O17:Z17)</f>
        <v>6000</v>
      </c>
      <c r="AB17" s="8">
        <f>AB15*AB16</f>
        <v>7950</v>
      </c>
      <c r="AC17" s="8">
        <f>AC15*AC16</f>
        <v>8400</v>
      </c>
      <c r="AD17" s="8">
        <f>AD15*AD16</f>
        <v>8850</v>
      </c>
      <c r="AE17" s="8"/>
    </row>
    <row r="18" spans="3:31" ht="12.75">
      <c r="C18" s="4" t="s">
        <v>120</v>
      </c>
      <c r="D18" s="99"/>
      <c r="E18" s="100"/>
      <c r="F18" s="100"/>
      <c r="G18" s="100"/>
      <c r="H18" s="100"/>
      <c r="I18" s="100"/>
      <c r="J18" s="100"/>
      <c r="K18" s="97">
        <f>K17</f>
        <v>250</v>
      </c>
      <c r="L18" s="97">
        <f>L17+K18</f>
        <v>500</v>
      </c>
      <c r="M18" s="97">
        <f>M17+L18</f>
        <v>750</v>
      </c>
      <c r="N18" s="173">
        <f>M18</f>
        <v>750</v>
      </c>
      <c r="O18" s="104">
        <f>O17+N18</f>
        <v>1250</v>
      </c>
      <c r="P18" s="104">
        <f aca="true" t="shared" si="1" ref="P18:Z18">P17+O18</f>
        <v>1750</v>
      </c>
      <c r="Q18" s="104">
        <f t="shared" si="1"/>
        <v>2250</v>
      </c>
      <c r="R18" s="104">
        <f t="shared" si="1"/>
        <v>2750</v>
      </c>
      <c r="S18" s="104">
        <f t="shared" si="1"/>
        <v>3250</v>
      </c>
      <c r="T18" s="104">
        <f t="shared" si="1"/>
        <v>3750</v>
      </c>
      <c r="U18" s="104">
        <f t="shared" si="1"/>
        <v>4250</v>
      </c>
      <c r="V18" s="104">
        <f t="shared" si="1"/>
        <v>4750</v>
      </c>
      <c r="W18" s="104">
        <f t="shared" si="1"/>
        <v>5250</v>
      </c>
      <c r="X18" s="104">
        <f t="shared" si="1"/>
        <v>5750</v>
      </c>
      <c r="Y18" s="104">
        <f t="shared" si="1"/>
        <v>6250</v>
      </c>
      <c r="Z18" s="104">
        <f t="shared" si="1"/>
        <v>6750</v>
      </c>
      <c r="AA18" s="167">
        <f>Z18</f>
        <v>6750</v>
      </c>
      <c r="AB18" s="8">
        <f>AB17+AA18</f>
        <v>14700</v>
      </c>
      <c r="AC18" s="8">
        <f>AC17+AB18</f>
        <v>23100</v>
      </c>
      <c r="AD18" s="8">
        <f>AD17+AC18</f>
        <v>31950</v>
      </c>
      <c r="AE18" s="8"/>
    </row>
    <row r="19" spans="3:31" ht="12.75">
      <c r="C19" s="4" t="s">
        <v>233</v>
      </c>
      <c r="D19" s="99"/>
      <c r="E19" s="100"/>
      <c r="F19" s="100"/>
      <c r="G19" s="100"/>
      <c r="H19" s="100"/>
      <c r="I19" s="100"/>
      <c r="J19" s="100"/>
      <c r="K19" s="97">
        <f>K18/100</f>
        <v>2.5</v>
      </c>
      <c r="L19" s="97">
        <f>L18/100</f>
        <v>5</v>
      </c>
      <c r="M19" s="97">
        <f>M18/100</f>
        <v>7.5</v>
      </c>
      <c r="N19" s="174">
        <f>N18/100</f>
        <v>7.5</v>
      </c>
      <c r="O19" s="97">
        <f aca="true" t="shared" si="2" ref="O19:Z19">O18/100</f>
        <v>12.5</v>
      </c>
      <c r="P19" s="97">
        <f t="shared" si="2"/>
        <v>17.5</v>
      </c>
      <c r="Q19" s="97">
        <f t="shared" si="2"/>
        <v>22.5</v>
      </c>
      <c r="R19" s="97">
        <f t="shared" si="2"/>
        <v>27.5</v>
      </c>
      <c r="S19" s="97">
        <f t="shared" si="2"/>
        <v>32.5</v>
      </c>
      <c r="T19" s="97">
        <f t="shared" si="2"/>
        <v>37.5</v>
      </c>
      <c r="U19" s="97">
        <f t="shared" si="2"/>
        <v>42.5</v>
      </c>
      <c r="V19" s="97">
        <f t="shared" si="2"/>
        <v>47.5</v>
      </c>
      <c r="W19" s="97">
        <f t="shared" si="2"/>
        <v>52.5</v>
      </c>
      <c r="X19" s="97">
        <f t="shared" si="2"/>
        <v>57.5</v>
      </c>
      <c r="Y19" s="97">
        <f t="shared" si="2"/>
        <v>62.5</v>
      </c>
      <c r="Z19" s="97">
        <f t="shared" si="2"/>
        <v>67.5</v>
      </c>
      <c r="AA19" s="167">
        <f>AA18/100</f>
        <v>67.5</v>
      </c>
      <c r="AB19" s="8">
        <f>AB18/100</f>
        <v>147</v>
      </c>
      <c r="AC19" s="8">
        <f>AC18/100</f>
        <v>231</v>
      </c>
      <c r="AD19" s="8">
        <f>AD18/100</f>
        <v>319.5</v>
      </c>
      <c r="AE19" s="8"/>
    </row>
    <row r="20" spans="3:31" ht="12.75">
      <c r="C20" s="4" t="s">
        <v>117</v>
      </c>
      <c r="D20" s="99"/>
      <c r="E20" s="100"/>
      <c r="F20" s="100"/>
      <c r="G20" s="100"/>
      <c r="H20" s="100"/>
      <c r="I20" s="100"/>
      <c r="J20" s="100"/>
      <c r="K20" s="97">
        <f>K18*K$4</f>
        <v>24750</v>
      </c>
      <c r="L20" s="97">
        <f>L18*L$4</f>
        <v>49500</v>
      </c>
      <c r="M20" s="97">
        <f>M18*M$4</f>
        <v>74250</v>
      </c>
      <c r="N20" s="173">
        <f>SUM(K20:M20)</f>
        <v>148500</v>
      </c>
      <c r="O20" s="97">
        <f>O18*O$4</f>
        <v>123750</v>
      </c>
      <c r="P20" s="97">
        <f aca="true" t="shared" si="3" ref="P20:Z20">P18*P$4</f>
        <v>173250</v>
      </c>
      <c r="Q20" s="97">
        <f t="shared" si="3"/>
        <v>222750</v>
      </c>
      <c r="R20" s="97">
        <f t="shared" si="3"/>
        <v>272250</v>
      </c>
      <c r="S20" s="97">
        <f t="shared" si="3"/>
        <v>321750</v>
      </c>
      <c r="T20" s="97">
        <f t="shared" si="3"/>
        <v>371250</v>
      </c>
      <c r="U20" s="97">
        <f t="shared" si="3"/>
        <v>420750</v>
      </c>
      <c r="V20" s="97">
        <f t="shared" si="3"/>
        <v>470250</v>
      </c>
      <c r="W20" s="97">
        <f t="shared" si="3"/>
        <v>519750</v>
      </c>
      <c r="X20" s="97">
        <f t="shared" si="3"/>
        <v>569250</v>
      </c>
      <c r="Y20" s="97">
        <f t="shared" si="3"/>
        <v>618750</v>
      </c>
      <c r="Z20" s="97">
        <f t="shared" si="3"/>
        <v>668250</v>
      </c>
      <c r="AA20" s="167">
        <f>SUM(O20:Z20)</f>
        <v>4752000</v>
      </c>
      <c r="AB20" s="8">
        <f>AB18*AB4*12</f>
        <v>17463600</v>
      </c>
      <c r="AC20" s="8">
        <f>AC18*AC4*12</f>
        <v>27442800</v>
      </c>
      <c r="AD20" s="8">
        <f>AD18*AD4*12</f>
        <v>37956600</v>
      </c>
      <c r="AE20" s="8"/>
    </row>
    <row r="21" spans="3:31" ht="12.75">
      <c r="C21" s="4" t="s">
        <v>185</v>
      </c>
      <c r="D21" s="99"/>
      <c r="E21" s="100"/>
      <c r="F21" s="100"/>
      <c r="G21" s="100"/>
      <c r="H21" s="100"/>
      <c r="I21" s="100"/>
      <c r="J21" s="100"/>
      <c r="K21" s="97">
        <f>K18*K$5</f>
        <v>3000</v>
      </c>
      <c r="L21" s="97">
        <f>L18*L$5</f>
        <v>6000</v>
      </c>
      <c r="M21" s="97">
        <f>M18*M$5</f>
        <v>9000</v>
      </c>
      <c r="N21" s="173">
        <f>SUM(K21:M21)</f>
        <v>18000</v>
      </c>
      <c r="O21" s="97">
        <f>O18*O$5</f>
        <v>15000</v>
      </c>
      <c r="P21" s="97">
        <f aca="true" t="shared" si="4" ref="P21:Z21">P18*P$5</f>
        <v>21000</v>
      </c>
      <c r="Q21" s="97">
        <f t="shared" si="4"/>
        <v>27000</v>
      </c>
      <c r="R21" s="97">
        <f t="shared" si="4"/>
        <v>33000</v>
      </c>
      <c r="S21" s="97">
        <f t="shared" si="4"/>
        <v>39000</v>
      </c>
      <c r="T21" s="97">
        <f t="shared" si="4"/>
        <v>45000</v>
      </c>
      <c r="U21" s="97">
        <f t="shared" si="4"/>
        <v>51000</v>
      </c>
      <c r="V21" s="97">
        <f t="shared" si="4"/>
        <v>57000</v>
      </c>
      <c r="W21" s="97">
        <f t="shared" si="4"/>
        <v>63000</v>
      </c>
      <c r="X21" s="97">
        <f t="shared" si="4"/>
        <v>69000</v>
      </c>
      <c r="Y21" s="97">
        <f t="shared" si="4"/>
        <v>75000</v>
      </c>
      <c r="Z21" s="97">
        <f t="shared" si="4"/>
        <v>81000</v>
      </c>
      <c r="AA21" s="167">
        <f>SUM(O21:Z21)</f>
        <v>576000</v>
      </c>
      <c r="AB21" s="8">
        <f aca="true" t="shared" si="5" ref="AB21:AD22">AB$18*AB5*12</f>
        <v>2116800</v>
      </c>
      <c r="AC21" s="8">
        <f t="shared" si="5"/>
        <v>3326400</v>
      </c>
      <c r="AD21" s="8">
        <f t="shared" si="5"/>
        <v>4600800</v>
      </c>
      <c r="AE21" s="8"/>
    </row>
    <row r="22" spans="3:31" ht="12.75">
      <c r="C22" s="4" t="s">
        <v>116</v>
      </c>
      <c r="D22" s="99"/>
      <c r="E22" s="100"/>
      <c r="F22" s="100"/>
      <c r="G22" s="100"/>
      <c r="H22" s="100"/>
      <c r="I22" s="100"/>
      <c r="J22" s="100"/>
      <c r="K22" s="97">
        <f>K18*K$6</f>
        <v>6000</v>
      </c>
      <c r="L22" s="97">
        <f>L18*L$6</f>
        <v>12000</v>
      </c>
      <c r="M22" s="97">
        <f>M18*M$6</f>
        <v>18000</v>
      </c>
      <c r="N22" s="173">
        <f>SUM(K22:M22)</f>
        <v>36000</v>
      </c>
      <c r="O22" s="97">
        <f>O18*O$6</f>
        <v>30000</v>
      </c>
      <c r="P22" s="97">
        <f aca="true" t="shared" si="6" ref="P22:Z22">P18*P$6</f>
        <v>42000</v>
      </c>
      <c r="Q22" s="97">
        <f t="shared" si="6"/>
        <v>54000</v>
      </c>
      <c r="R22" s="97">
        <f t="shared" si="6"/>
        <v>66000</v>
      </c>
      <c r="S22" s="97">
        <f t="shared" si="6"/>
        <v>78000</v>
      </c>
      <c r="T22" s="97">
        <f t="shared" si="6"/>
        <v>90000</v>
      </c>
      <c r="U22" s="97">
        <f t="shared" si="6"/>
        <v>102000</v>
      </c>
      <c r="V22" s="97">
        <f t="shared" si="6"/>
        <v>114000</v>
      </c>
      <c r="W22" s="97">
        <f t="shared" si="6"/>
        <v>126000</v>
      </c>
      <c r="X22" s="97">
        <f t="shared" si="6"/>
        <v>138000</v>
      </c>
      <c r="Y22" s="97">
        <f t="shared" si="6"/>
        <v>150000</v>
      </c>
      <c r="Z22" s="97">
        <f t="shared" si="6"/>
        <v>162000</v>
      </c>
      <c r="AA22" s="167">
        <f>SUM(O22:Z22)</f>
        <v>1152000</v>
      </c>
      <c r="AB22" s="8">
        <f t="shared" si="5"/>
        <v>4233600</v>
      </c>
      <c r="AC22" s="8">
        <f t="shared" si="5"/>
        <v>6652800</v>
      </c>
      <c r="AD22" s="8">
        <f t="shared" si="5"/>
        <v>9201600</v>
      </c>
      <c r="AE22" s="8"/>
    </row>
    <row r="23" spans="3:31" ht="12.75">
      <c r="C23" s="4" t="s">
        <v>226</v>
      </c>
      <c r="D23" s="99"/>
      <c r="E23" s="100"/>
      <c r="F23" s="100"/>
      <c r="G23" s="100"/>
      <c r="H23" s="100"/>
      <c r="I23" s="100"/>
      <c r="J23" s="100"/>
      <c r="K23" s="97">
        <f>K$7*K17</f>
        <v>62250</v>
      </c>
      <c r="L23" s="97">
        <f>L$7*L17</f>
        <v>62250</v>
      </c>
      <c r="M23" s="97">
        <f>M$7*M17</f>
        <v>62250</v>
      </c>
      <c r="N23" s="173">
        <f>SUM(K23:M23)</f>
        <v>186750</v>
      </c>
      <c r="O23" s="97">
        <f>O7*O17</f>
        <v>124500</v>
      </c>
      <c r="P23" s="97">
        <f aca="true" t="shared" si="7" ref="P23:AD23">P7*P17</f>
        <v>124500</v>
      </c>
      <c r="Q23" s="97">
        <f t="shared" si="7"/>
        <v>124500</v>
      </c>
      <c r="R23" s="97">
        <f t="shared" si="7"/>
        <v>124500</v>
      </c>
      <c r="S23" s="97">
        <f t="shared" si="7"/>
        <v>124500</v>
      </c>
      <c r="T23" s="97">
        <f t="shared" si="7"/>
        <v>124500</v>
      </c>
      <c r="U23" s="97">
        <f t="shared" si="7"/>
        <v>124500</v>
      </c>
      <c r="V23" s="97">
        <f t="shared" si="7"/>
        <v>124500</v>
      </c>
      <c r="W23" s="97">
        <f t="shared" si="7"/>
        <v>124500</v>
      </c>
      <c r="X23" s="97">
        <f t="shared" si="7"/>
        <v>124500</v>
      </c>
      <c r="Y23" s="97">
        <f t="shared" si="7"/>
        <v>124500</v>
      </c>
      <c r="Z23" s="97">
        <f t="shared" si="7"/>
        <v>124500</v>
      </c>
      <c r="AA23" s="167">
        <f>SUM(O23:Z23)</f>
        <v>1494000</v>
      </c>
      <c r="AB23" s="97">
        <f t="shared" si="7"/>
        <v>1979550</v>
      </c>
      <c r="AC23" s="97">
        <f t="shared" si="7"/>
        <v>2091600</v>
      </c>
      <c r="AD23" s="97">
        <f t="shared" si="7"/>
        <v>2203650</v>
      </c>
      <c r="AE23" s="8"/>
    </row>
    <row r="24" spans="3:31" ht="12.75">
      <c r="C24" s="4" t="s">
        <v>227</v>
      </c>
      <c r="D24" s="99"/>
      <c r="E24" s="100"/>
      <c r="F24" s="100"/>
      <c r="G24" s="100"/>
      <c r="H24" s="100"/>
      <c r="I24" s="100"/>
      <c r="J24" s="100"/>
      <c r="K24" s="97">
        <f>(K19-J24)*K8</f>
        <v>30000</v>
      </c>
      <c r="L24" s="97">
        <f>(L19-K19)*L8</f>
        <v>30000</v>
      </c>
      <c r="M24" s="97">
        <f>(M19-L19)*M8</f>
        <v>30000</v>
      </c>
      <c r="N24" s="173">
        <f>SUM(K24:M24)</f>
        <v>90000</v>
      </c>
      <c r="O24" s="97">
        <f>(O19-N19)*O8</f>
        <v>60000</v>
      </c>
      <c r="P24" s="97">
        <f aca="true" t="shared" si="8" ref="P24:AD24">(P19-O19)*P8</f>
        <v>60000</v>
      </c>
      <c r="Q24" s="97">
        <f t="shared" si="8"/>
        <v>60000</v>
      </c>
      <c r="R24" s="97">
        <f t="shared" si="8"/>
        <v>60000</v>
      </c>
      <c r="S24" s="97">
        <f t="shared" si="8"/>
        <v>60000</v>
      </c>
      <c r="T24" s="97">
        <f t="shared" si="8"/>
        <v>60000</v>
      </c>
      <c r="U24" s="97">
        <f t="shared" si="8"/>
        <v>60000</v>
      </c>
      <c r="V24" s="97">
        <f t="shared" si="8"/>
        <v>60000</v>
      </c>
      <c r="W24" s="97">
        <f t="shared" si="8"/>
        <v>60000</v>
      </c>
      <c r="X24" s="97">
        <f t="shared" si="8"/>
        <v>60000</v>
      </c>
      <c r="Y24" s="97">
        <f t="shared" si="8"/>
        <v>60000</v>
      </c>
      <c r="Z24" s="97">
        <f t="shared" si="8"/>
        <v>60000</v>
      </c>
      <c r="AA24" s="167">
        <f>SUM(O24:Z24)</f>
        <v>720000</v>
      </c>
      <c r="AB24" s="97">
        <f t="shared" si="8"/>
        <v>954000</v>
      </c>
      <c r="AC24" s="97">
        <f t="shared" si="8"/>
        <v>1008000</v>
      </c>
      <c r="AD24" s="97">
        <f t="shared" si="8"/>
        <v>1062000</v>
      </c>
      <c r="AE24" s="8"/>
    </row>
    <row r="25" spans="3:31" ht="12.75">
      <c r="C25" s="9" t="s">
        <v>204</v>
      </c>
      <c r="D25" s="101"/>
      <c r="E25" s="102"/>
      <c r="F25" s="102"/>
      <c r="G25" s="102"/>
      <c r="H25" s="102"/>
      <c r="I25" s="102"/>
      <c r="J25" s="102"/>
      <c r="K25" s="103">
        <f>SUM(K20:K24)</f>
        <v>126000</v>
      </c>
      <c r="L25" s="103">
        <f aca="true" t="shared" si="9" ref="L25:AA25">SUM(L20:L24)</f>
        <v>159750</v>
      </c>
      <c r="M25" s="103">
        <f t="shared" si="9"/>
        <v>193500</v>
      </c>
      <c r="N25" s="169">
        <f t="shared" si="9"/>
        <v>479250</v>
      </c>
      <c r="O25" s="103">
        <f t="shared" si="9"/>
        <v>353250</v>
      </c>
      <c r="P25" s="103">
        <f t="shared" si="9"/>
        <v>420750</v>
      </c>
      <c r="Q25" s="103">
        <f t="shared" si="9"/>
        <v>488250</v>
      </c>
      <c r="R25" s="103">
        <f t="shared" si="9"/>
        <v>555750</v>
      </c>
      <c r="S25" s="103">
        <f t="shared" si="9"/>
        <v>623250</v>
      </c>
      <c r="T25" s="103">
        <f t="shared" si="9"/>
        <v>690750</v>
      </c>
      <c r="U25" s="103">
        <f t="shared" si="9"/>
        <v>758250</v>
      </c>
      <c r="V25" s="103">
        <f t="shared" si="9"/>
        <v>825750</v>
      </c>
      <c r="W25" s="103">
        <f t="shared" si="9"/>
        <v>893250</v>
      </c>
      <c r="X25" s="103">
        <f t="shared" si="9"/>
        <v>960750</v>
      </c>
      <c r="Y25" s="103">
        <f t="shared" si="9"/>
        <v>1028250</v>
      </c>
      <c r="Z25" s="103">
        <f t="shared" si="9"/>
        <v>1095750</v>
      </c>
      <c r="AA25" s="169">
        <f t="shared" si="9"/>
        <v>8694000</v>
      </c>
      <c r="AB25" s="72">
        <f>SUM(AB20:AB24)</f>
        <v>26747550</v>
      </c>
      <c r="AC25" s="72">
        <f>SUM(AC20:AC24)</f>
        <v>40521600</v>
      </c>
      <c r="AD25" s="72">
        <f>SUM(AD20:AD24)</f>
        <v>55024650</v>
      </c>
      <c r="AE25" s="8"/>
    </row>
    <row r="26" spans="3:31" ht="12.75"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176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174"/>
      <c r="AB26" s="8"/>
      <c r="AC26" s="8"/>
      <c r="AD26" s="8"/>
      <c r="AE26" s="8"/>
    </row>
    <row r="27" spans="3:31" ht="12.75">
      <c r="C27" s="7" t="s">
        <v>180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171"/>
      <c r="O27" s="129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174"/>
      <c r="AB27" s="8"/>
      <c r="AC27" s="8"/>
      <c r="AD27" s="8"/>
      <c r="AE27" s="8"/>
    </row>
    <row r="28" spans="3:31" ht="12.75">
      <c r="C28" s="4" t="s">
        <v>115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177"/>
      <c r="O28" s="130"/>
      <c r="P28" s="130"/>
      <c r="Q28" s="4"/>
      <c r="R28" s="4"/>
      <c r="S28" s="4"/>
      <c r="T28" s="4"/>
      <c r="U28" s="4"/>
      <c r="V28" s="4"/>
      <c r="W28" s="4"/>
      <c r="X28" s="4"/>
      <c r="Y28" s="4"/>
      <c r="Z28" s="4"/>
      <c r="AA28" s="166"/>
      <c r="AB28" s="8">
        <v>15000</v>
      </c>
      <c r="AC28" s="8">
        <f>AB28+5000</f>
        <v>20000</v>
      </c>
      <c r="AD28" s="8">
        <f>AC28+5000</f>
        <v>25000</v>
      </c>
      <c r="AE28" s="8"/>
    </row>
    <row r="29" spans="3:31" ht="12.75">
      <c r="C29" s="4" t="s">
        <v>199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177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166"/>
      <c r="AB29" s="92">
        <v>0.12</v>
      </c>
      <c r="AC29" s="92">
        <v>0.15</v>
      </c>
      <c r="AD29" s="92">
        <v>0.15</v>
      </c>
      <c r="AE29" s="8"/>
    </row>
    <row r="30" spans="3:31" ht="12.75">
      <c r="C30" s="4" t="s">
        <v>121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177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166"/>
      <c r="AB30" s="8">
        <f>AB28*AB29</f>
        <v>1800</v>
      </c>
      <c r="AC30" s="8">
        <f>AC28*AC29</f>
        <v>3000</v>
      </c>
      <c r="AD30" s="8">
        <f>AD28*AD29</f>
        <v>3750</v>
      </c>
      <c r="AE30" s="8"/>
    </row>
    <row r="31" spans="3:31" ht="12.75">
      <c r="C31" s="4" t="s">
        <v>120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177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166"/>
      <c r="AB31" s="8">
        <f>AB30</f>
        <v>1800</v>
      </c>
      <c r="AC31" s="8">
        <f>AC30+AB31</f>
        <v>4800</v>
      </c>
      <c r="AD31" s="8">
        <f>AD30+AC31</f>
        <v>8550</v>
      </c>
      <c r="AE31" s="8"/>
    </row>
    <row r="32" spans="3:31" ht="12.75">
      <c r="C32" s="4" t="s">
        <v>184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177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166"/>
      <c r="AB32" s="8">
        <f>AB31/100</f>
        <v>18</v>
      </c>
      <c r="AC32" s="8">
        <f>AC31/100</f>
        <v>48</v>
      </c>
      <c r="AD32" s="8">
        <f>AD31/100</f>
        <v>85.5</v>
      </c>
      <c r="AE32" s="8"/>
    </row>
    <row r="33" spans="3:31" ht="12.75">
      <c r="C33" s="4" t="s">
        <v>117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177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166"/>
      <c r="AB33" s="8">
        <f>AB31*AB4*12</f>
        <v>2138400</v>
      </c>
      <c r="AC33" s="8">
        <f>AC31*AC4*12</f>
        <v>5702400</v>
      </c>
      <c r="AD33" s="8">
        <f>AD31*AD4*12</f>
        <v>10157400</v>
      </c>
      <c r="AE33" s="8"/>
    </row>
    <row r="34" spans="3:31" ht="12.75">
      <c r="C34" s="4" t="s">
        <v>185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177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166"/>
      <c r="AB34" s="8">
        <f>AB31*AB5</f>
        <v>21600</v>
      </c>
      <c r="AC34" s="8">
        <f>AC31*AC5</f>
        <v>57600</v>
      </c>
      <c r="AD34" s="8">
        <f>AD31*AD5</f>
        <v>102600</v>
      </c>
      <c r="AE34" s="8"/>
    </row>
    <row r="35" spans="3:31" ht="12.75">
      <c r="C35" s="4" t="s">
        <v>116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177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166"/>
      <c r="AB35" s="8">
        <f>AB31*AB6</f>
        <v>43200</v>
      </c>
      <c r="AC35" s="8">
        <f>AC31*AC6</f>
        <v>115200</v>
      </c>
      <c r="AD35" s="8">
        <f>AD31*AD6</f>
        <v>205200</v>
      </c>
      <c r="AE35" s="8"/>
    </row>
    <row r="36" spans="3:31" ht="12.75">
      <c r="C36" s="4" t="s">
        <v>226</v>
      </c>
      <c r="D36" s="100"/>
      <c r="E36" s="100"/>
      <c r="F36" s="100"/>
      <c r="G36" s="100"/>
      <c r="H36" s="100"/>
      <c r="I36" s="100"/>
      <c r="J36" s="100"/>
      <c r="K36" s="97"/>
      <c r="L36" s="97"/>
      <c r="M36" s="97"/>
      <c r="N36" s="173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167"/>
      <c r="AB36" s="8">
        <f>AB30*AB7</f>
        <v>448200</v>
      </c>
      <c r="AC36" s="8">
        <f>AC30*AC7</f>
        <v>747000</v>
      </c>
      <c r="AD36" s="8">
        <f>AD30*AD7</f>
        <v>933750</v>
      </c>
      <c r="AE36" s="8"/>
    </row>
    <row r="37" spans="3:31" ht="12.75">
      <c r="C37" s="4" t="s">
        <v>227</v>
      </c>
      <c r="D37" s="100"/>
      <c r="E37" s="100"/>
      <c r="F37" s="100"/>
      <c r="G37" s="100"/>
      <c r="H37" s="100"/>
      <c r="I37" s="100"/>
      <c r="J37" s="100"/>
      <c r="K37" s="97"/>
      <c r="L37" s="97"/>
      <c r="M37" s="97"/>
      <c r="N37" s="173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167"/>
      <c r="AB37" s="8">
        <f>(AB32-AA32)*AB8</f>
        <v>216000</v>
      </c>
      <c r="AC37" s="8">
        <f>(AC32-AB32)*AC8</f>
        <v>360000</v>
      </c>
      <c r="AD37" s="8">
        <f>(AD32-AC32)*AD8</f>
        <v>450000</v>
      </c>
      <c r="AE37" s="8"/>
    </row>
    <row r="38" spans="3:31" ht="12.75">
      <c r="C38" s="9" t="s">
        <v>205</v>
      </c>
      <c r="D38" s="71"/>
      <c r="E38" s="9"/>
      <c r="F38" s="9"/>
      <c r="G38" s="9"/>
      <c r="H38" s="9"/>
      <c r="I38" s="9"/>
      <c r="J38" s="9"/>
      <c r="K38" s="9"/>
      <c r="L38" s="9"/>
      <c r="M38" s="9"/>
      <c r="N38" s="176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166"/>
      <c r="AB38" s="10">
        <f>SUM(AB33:AB35)</f>
        <v>2203200</v>
      </c>
      <c r="AC38" s="10">
        <f>SUM(AC33:AC35)</f>
        <v>5875200</v>
      </c>
      <c r="AD38" s="10">
        <f>SUM(AD33:AD35)</f>
        <v>10465200</v>
      </c>
      <c r="AE38" s="8"/>
    </row>
    <row r="39" spans="4:31" ht="12.75">
      <c r="D39" s="93"/>
      <c r="N39" s="170"/>
      <c r="AA39" s="174"/>
      <c r="AB39" s="8"/>
      <c r="AC39" s="8"/>
      <c r="AD39" s="8"/>
      <c r="AE39" s="8"/>
    </row>
    <row r="40" spans="3:31" ht="12.75">
      <c r="C40" s="7" t="s">
        <v>181</v>
      </c>
      <c r="D40" s="70"/>
      <c r="E40" s="7"/>
      <c r="F40" s="7"/>
      <c r="G40" s="7"/>
      <c r="H40" s="7"/>
      <c r="I40" s="7"/>
      <c r="J40" s="7"/>
      <c r="K40" s="7"/>
      <c r="L40" s="7"/>
      <c r="M40" s="7"/>
      <c r="N40" s="171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174"/>
      <c r="AB40" s="8"/>
      <c r="AC40" s="8"/>
      <c r="AD40" s="8"/>
      <c r="AE40" s="8"/>
    </row>
    <row r="41" spans="3:31" ht="12.75">
      <c r="C41" s="4" t="s">
        <v>115</v>
      </c>
      <c r="D41" s="100"/>
      <c r="E41" s="4"/>
      <c r="F41" s="4"/>
      <c r="G41" s="4"/>
      <c r="H41" s="4"/>
      <c r="I41" s="4"/>
      <c r="J41" s="4"/>
      <c r="K41" s="4"/>
      <c r="L41" s="4"/>
      <c r="M41" s="4"/>
      <c r="N41" s="177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166"/>
      <c r="AC41" s="8">
        <v>50000</v>
      </c>
      <c r="AD41" s="8">
        <f>AC41+3000</f>
        <v>53000</v>
      </c>
      <c r="AE41" s="8"/>
    </row>
    <row r="42" spans="3:31" ht="12.75">
      <c r="C42" s="4" t="s">
        <v>199</v>
      </c>
      <c r="D42" s="100"/>
      <c r="E42" s="4"/>
      <c r="F42" s="4"/>
      <c r="G42" s="4"/>
      <c r="H42" s="4"/>
      <c r="I42" s="4"/>
      <c r="J42" s="4"/>
      <c r="K42" s="4"/>
      <c r="L42" s="4"/>
      <c r="M42" s="4"/>
      <c r="N42" s="177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166"/>
      <c r="AC42" s="92">
        <v>0.12</v>
      </c>
      <c r="AD42" s="92">
        <v>0.15</v>
      </c>
      <c r="AE42" s="8"/>
    </row>
    <row r="43" spans="3:32" ht="12.75">
      <c r="C43" s="4" t="s">
        <v>121</v>
      </c>
      <c r="D43" s="100"/>
      <c r="E43" s="4"/>
      <c r="F43" s="4"/>
      <c r="G43" s="4"/>
      <c r="H43" s="4"/>
      <c r="I43" s="4"/>
      <c r="J43" s="4"/>
      <c r="K43" s="4"/>
      <c r="L43" s="4"/>
      <c r="M43" s="4"/>
      <c r="N43" s="177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166"/>
      <c r="AC43" s="8">
        <f>AC41*AC42</f>
        <v>6000</v>
      </c>
      <c r="AD43" s="8">
        <f>AD41*AD42</f>
        <v>7950</v>
      </c>
      <c r="AE43" s="8"/>
      <c r="AF43" s="8"/>
    </row>
    <row r="44" spans="3:31" ht="12.75">
      <c r="C44" s="4" t="s">
        <v>120</v>
      </c>
      <c r="D44" s="100"/>
      <c r="E44" s="4"/>
      <c r="F44" s="4"/>
      <c r="G44" s="4"/>
      <c r="H44" s="4"/>
      <c r="I44" s="4"/>
      <c r="J44" s="4"/>
      <c r="K44" s="4"/>
      <c r="L44" s="4"/>
      <c r="M44" s="4"/>
      <c r="N44" s="177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166"/>
      <c r="AC44" s="8">
        <f>AC43</f>
        <v>6000</v>
      </c>
      <c r="AD44" s="8">
        <f>AD43+AC44</f>
        <v>13950</v>
      </c>
      <c r="AE44" s="8"/>
    </row>
    <row r="45" spans="3:31" ht="12.75">
      <c r="C45" s="4" t="s">
        <v>184</v>
      </c>
      <c r="D45" s="100"/>
      <c r="E45" s="4"/>
      <c r="F45" s="4"/>
      <c r="G45" s="4"/>
      <c r="H45" s="4"/>
      <c r="I45" s="4"/>
      <c r="J45" s="4"/>
      <c r="K45" s="4"/>
      <c r="L45" s="4"/>
      <c r="M45" s="4"/>
      <c r="N45" s="177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166"/>
      <c r="AC45" s="8">
        <f>AC44/100</f>
        <v>60</v>
      </c>
      <c r="AD45" s="8">
        <f>AD44/100</f>
        <v>139.5</v>
      </c>
      <c r="AE45" s="8"/>
    </row>
    <row r="46" spans="3:31" ht="12.75">
      <c r="C46" s="4" t="s">
        <v>117</v>
      </c>
      <c r="D46" s="100"/>
      <c r="E46" s="4"/>
      <c r="F46" s="4"/>
      <c r="G46" s="4"/>
      <c r="H46" s="4"/>
      <c r="I46" s="4"/>
      <c r="J46" s="4"/>
      <c r="K46" s="4"/>
      <c r="L46" s="4"/>
      <c r="M46" s="4"/>
      <c r="N46" s="177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166"/>
      <c r="AC46" s="8">
        <f>AC44*AC4*12</f>
        <v>7128000</v>
      </c>
      <c r="AD46" s="8">
        <f>AD44*AD4*12</f>
        <v>16572600</v>
      </c>
      <c r="AE46" s="8"/>
    </row>
    <row r="47" spans="3:31" ht="12.75">
      <c r="C47" s="4" t="s">
        <v>185</v>
      </c>
      <c r="D47" s="100"/>
      <c r="E47" s="4"/>
      <c r="F47" s="4"/>
      <c r="G47" s="4"/>
      <c r="H47" s="4"/>
      <c r="I47" s="4"/>
      <c r="J47" s="4"/>
      <c r="K47" s="4"/>
      <c r="L47" s="4"/>
      <c r="M47" s="4"/>
      <c r="N47" s="177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166"/>
      <c r="AC47" s="8">
        <f>AC44*AC5*12</f>
        <v>864000</v>
      </c>
      <c r="AD47" s="8">
        <f>AD44*AD5*12</f>
        <v>2008800</v>
      </c>
      <c r="AE47" s="8"/>
    </row>
    <row r="48" spans="3:31" ht="12.75">
      <c r="C48" s="4" t="s">
        <v>116</v>
      </c>
      <c r="D48" s="100"/>
      <c r="E48" s="4"/>
      <c r="F48" s="4"/>
      <c r="G48" s="4"/>
      <c r="H48" s="4"/>
      <c r="I48" s="4"/>
      <c r="J48" s="4"/>
      <c r="K48" s="4"/>
      <c r="L48" s="4"/>
      <c r="M48" s="4"/>
      <c r="N48" s="177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166"/>
      <c r="AC48" s="8">
        <f>AC44*AC6*12</f>
        <v>1728000</v>
      </c>
      <c r="AD48" s="8">
        <f>AD44*AD6*12</f>
        <v>4017600</v>
      </c>
      <c r="AE48" s="8"/>
    </row>
    <row r="49" spans="3:31" ht="12.75">
      <c r="C49" s="4" t="s">
        <v>226</v>
      </c>
      <c r="D49" s="100"/>
      <c r="E49" s="100"/>
      <c r="F49" s="100"/>
      <c r="G49" s="100"/>
      <c r="H49" s="100"/>
      <c r="I49" s="100"/>
      <c r="J49" s="100"/>
      <c r="K49" s="97"/>
      <c r="L49" s="97"/>
      <c r="M49" s="97"/>
      <c r="N49" s="173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167"/>
      <c r="AB49" s="8"/>
      <c r="AC49" s="8">
        <f>AC43*AC7</f>
        <v>1494000</v>
      </c>
      <c r="AD49" s="8">
        <f>AD43*AD7</f>
        <v>1979550</v>
      </c>
      <c r="AE49" s="8"/>
    </row>
    <row r="50" spans="3:31" ht="12.75">
      <c r="C50" s="4" t="s">
        <v>227</v>
      </c>
      <c r="D50" s="100"/>
      <c r="E50" s="100"/>
      <c r="F50" s="100"/>
      <c r="G50" s="100"/>
      <c r="H50" s="100"/>
      <c r="I50" s="100"/>
      <c r="J50" s="100"/>
      <c r="K50" s="97"/>
      <c r="L50" s="97"/>
      <c r="M50" s="97"/>
      <c r="N50" s="173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167"/>
      <c r="AB50" s="8"/>
      <c r="AC50" s="8">
        <f>(AC45-AB45)*AC8</f>
        <v>720000</v>
      </c>
      <c r="AD50" s="8">
        <f>(AD45-AC45)*AD8</f>
        <v>954000</v>
      </c>
      <c r="AE50" s="8"/>
    </row>
    <row r="51" spans="3:31" ht="12.75">
      <c r="C51" s="9" t="s">
        <v>206</v>
      </c>
      <c r="D51" s="71"/>
      <c r="E51" s="9"/>
      <c r="F51" s="9"/>
      <c r="G51" s="9"/>
      <c r="H51" s="9"/>
      <c r="I51" s="9"/>
      <c r="J51" s="9"/>
      <c r="K51" s="9"/>
      <c r="L51" s="9"/>
      <c r="M51" s="9"/>
      <c r="N51" s="176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166"/>
      <c r="AC51" s="10">
        <f>SUM(AC46:AC50)</f>
        <v>11934000</v>
      </c>
      <c r="AD51" s="10">
        <f>SUM(AD46:AD50)</f>
        <v>25532550</v>
      </c>
      <c r="AE51" s="8"/>
    </row>
    <row r="52" spans="3:31" ht="12.75">
      <c r="C52" s="9"/>
      <c r="D52" s="71"/>
      <c r="E52" s="9"/>
      <c r="F52" s="9"/>
      <c r="G52" s="9"/>
      <c r="H52" s="9"/>
      <c r="I52" s="9"/>
      <c r="J52" s="9"/>
      <c r="K52" s="9"/>
      <c r="L52" s="9"/>
      <c r="M52" s="9"/>
      <c r="N52" s="176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166"/>
      <c r="AC52" s="8"/>
      <c r="AD52" s="8"/>
      <c r="AE52" s="8"/>
    </row>
    <row r="53" spans="3:31" ht="12.75">
      <c r="C53" s="7" t="s">
        <v>182</v>
      </c>
      <c r="D53" s="70"/>
      <c r="E53" s="7"/>
      <c r="F53" s="7"/>
      <c r="G53" s="7"/>
      <c r="H53" s="7"/>
      <c r="I53" s="7"/>
      <c r="J53" s="7"/>
      <c r="K53" s="7"/>
      <c r="L53" s="7"/>
      <c r="M53" s="7"/>
      <c r="N53" s="171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174"/>
      <c r="AB53" s="8"/>
      <c r="AC53" s="8"/>
      <c r="AD53" s="8"/>
      <c r="AE53" s="8"/>
    </row>
    <row r="54" spans="3:31" ht="12.75">
      <c r="C54" s="4" t="s">
        <v>115</v>
      </c>
      <c r="D54" s="100"/>
      <c r="E54" s="4"/>
      <c r="F54" s="4"/>
      <c r="G54" s="4"/>
      <c r="H54" s="4"/>
      <c r="I54" s="4"/>
      <c r="J54" s="4"/>
      <c r="K54" s="4"/>
      <c r="L54" s="4"/>
      <c r="M54" s="4"/>
      <c r="N54" s="177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166"/>
      <c r="AD54" s="8">
        <v>35000</v>
      </c>
      <c r="AE54" s="8"/>
    </row>
    <row r="55" spans="3:31" ht="12.75">
      <c r="C55" s="4" t="s">
        <v>199</v>
      </c>
      <c r="D55" s="100"/>
      <c r="E55" s="4"/>
      <c r="F55" s="4"/>
      <c r="G55" s="4"/>
      <c r="H55" s="4"/>
      <c r="I55" s="4"/>
      <c r="J55" s="4"/>
      <c r="K55" s="4"/>
      <c r="L55" s="4"/>
      <c r="M55" s="4"/>
      <c r="N55" s="177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166"/>
      <c r="AD55" s="92">
        <v>0.12</v>
      </c>
      <c r="AE55" s="92"/>
    </row>
    <row r="56" spans="3:32" ht="12.75">
      <c r="C56" s="4" t="s">
        <v>121</v>
      </c>
      <c r="D56" s="100"/>
      <c r="E56" s="4"/>
      <c r="F56" s="4"/>
      <c r="G56" s="4"/>
      <c r="H56" s="4"/>
      <c r="I56" s="4"/>
      <c r="J56" s="4"/>
      <c r="K56" s="4"/>
      <c r="L56" s="4"/>
      <c r="M56" s="4"/>
      <c r="N56" s="177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166"/>
      <c r="AD56" s="8">
        <f>AD54*AD55</f>
        <v>4200</v>
      </c>
      <c r="AE56" s="8"/>
      <c r="AF56" s="8"/>
    </row>
    <row r="57" spans="3:31" ht="12.75">
      <c r="C57" s="4" t="s">
        <v>120</v>
      </c>
      <c r="D57" s="100"/>
      <c r="E57" s="4"/>
      <c r="F57" s="4"/>
      <c r="G57" s="4"/>
      <c r="H57" s="4"/>
      <c r="I57" s="4"/>
      <c r="J57" s="4"/>
      <c r="K57" s="4"/>
      <c r="L57" s="4"/>
      <c r="M57" s="4"/>
      <c r="N57" s="177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166"/>
      <c r="AD57" s="8">
        <f>AD56</f>
        <v>4200</v>
      </c>
      <c r="AE57" s="8"/>
    </row>
    <row r="58" spans="3:31" ht="12.75">
      <c r="C58" s="4" t="s">
        <v>184</v>
      </c>
      <c r="D58" s="100"/>
      <c r="E58" s="4"/>
      <c r="F58" s="4"/>
      <c r="G58" s="4"/>
      <c r="H58" s="4"/>
      <c r="I58" s="4"/>
      <c r="J58" s="4"/>
      <c r="K58" s="4"/>
      <c r="L58" s="100"/>
      <c r="M58" s="4"/>
      <c r="N58" s="177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166"/>
      <c r="AD58" s="8">
        <f>AD57/100</f>
        <v>42</v>
      </c>
      <c r="AE58" s="8"/>
    </row>
    <row r="59" spans="3:31" ht="12.75">
      <c r="C59" s="4" t="s">
        <v>117</v>
      </c>
      <c r="D59" s="100"/>
      <c r="E59" s="4"/>
      <c r="F59" s="4"/>
      <c r="G59" s="4"/>
      <c r="H59" s="4"/>
      <c r="I59" s="4"/>
      <c r="J59" s="4"/>
      <c r="K59" s="4"/>
      <c r="L59" s="4"/>
      <c r="M59" s="4"/>
      <c r="N59" s="177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166"/>
      <c r="AD59" s="8">
        <f>AD57*AD4*12</f>
        <v>4989600</v>
      </c>
      <c r="AE59" s="8"/>
    </row>
    <row r="60" spans="3:31" ht="12.75">
      <c r="C60" s="4" t="s">
        <v>185</v>
      </c>
      <c r="D60" s="100"/>
      <c r="E60" s="4"/>
      <c r="F60" s="4"/>
      <c r="G60" s="4"/>
      <c r="H60" s="4"/>
      <c r="I60" s="4"/>
      <c r="J60" s="4"/>
      <c r="K60" s="4"/>
      <c r="L60" s="4"/>
      <c r="M60" s="4"/>
      <c r="N60" s="177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166"/>
      <c r="AD60" s="8">
        <f>AD57*AD5*12</f>
        <v>604800</v>
      </c>
      <c r="AE60" s="8"/>
    </row>
    <row r="61" spans="3:31" ht="12.75">
      <c r="C61" s="4" t="s">
        <v>116</v>
      </c>
      <c r="D61" s="100"/>
      <c r="E61" s="4"/>
      <c r="F61" s="4"/>
      <c r="G61" s="4"/>
      <c r="H61" s="4"/>
      <c r="I61" s="4"/>
      <c r="J61" s="4"/>
      <c r="K61" s="4"/>
      <c r="L61" s="4"/>
      <c r="M61" s="4"/>
      <c r="N61" s="177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166"/>
      <c r="AD61" s="8">
        <f>AD57*AD6*12</f>
        <v>1209600</v>
      </c>
      <c r="AE61" s="8"/>
    </row>
    <row r="62" spans="3:31" ht="12.75">
      <c r="C62" s="4" t="s">
        <v>226</v>
      </c>
      <c r="D62" s="100"/>
      <c r="E62" s="100"/>
      <c r="F62" s="100"/>
      <c r="G62" s="100"/>
      <c r="H62" s="100"/>
      <c r="I62" s="100"/>
      <c r="J62" s="100"/>
      <c r="K62" s="97"/>
      <c r="L62" s="97"/>
      <c r="M62" s="97"/>
      <c r="N62" s="173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167"/>
      <c r="AB62" s="8"/>
      <c r="AC62" s="8"/>
      <c r="AD62" s="8">
        <f>AD56*AD7</f>
        <v>1045800</v>
      </c>
      <c r="AE62" s="8"/>
    </row>
    <row r="63" spans="3:31" ht="12.75">
      <c r="C63" s="4" t="s">
        <v>227</v>
      </c>
      <c r="D63" s="100"/>
      <c r="E63" s="100"/>
      <c r="F63" s="100"/>
      <c r="G63" s="100"/>
      <c r="H63" s="100"/>
      <c r="I63" s="100"/>
      <c r="J63" s="100"/>
      <c r="K63" s="97"/>
      <c r="L63" s="97"/>
      <c r="M63" s="97"/>
      <c r="N63" s="173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167"/>
      <c r="AB63" s="8"/>
      <c r="AC63" s="8"/>
      <c r="AD63" s="8">
        <f>(AD58-AC58)*AD8</f>
        <v>504000</v>
      </c>
      <c r="AE63" s="8"/>
    </row>
    <row r="64" spans="3:31" ht="12.75">
      <c r="C64" s="9" t="s">
        <v>207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176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166"/>
      <c r="AD64" s="10">
        <f>SUM(AD59:AD63)</f>
        <v>8353800</v>
      </c>
      <c r="AE64" s="10"/>
    </row>
    <row r="65" spans="3:31" ht="12.75"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176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166"/>
      <c r="AC65" s="8"/>
      <c r="AD65" s="8"/>
      <c r="AE65" s="8"/>
    </row>
    <row r="66" spans="2:31" s="7" customFormat="1" ht="12">
      <c r="B66" s="7" t="s">
        <v>122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178" t="s">
        <v>164</v>
      </c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78" t="s">
        <v>165</v>
      </c>
      <c r="AB66" s="112" t="s">
        <v>166</v>
      </c>
      <c r="AC66" s="113" t="s">
        <v>167</v>
      </c>
      <c r="AD66" s="113" t="s">
        <v>168</v>
      </c>
      <c r="AE66" s="10"/>
    </row>
    <row r="67" spans="3:31" s="7" customFormat="1" ht="11.25">
      <c r="C67" s="9" t="s">
        <v>123</v>
      </c>
      <c r="D67" s="9"/>
      <c r="E67" s="9"/>
      <c r="F67" s="9"/>
      <c r="G67" s="9"/>
      <c r="H67" s="9"/>
      <c r="I67" s="9"/>
      <c r="J67" s="9"/>
      <c r="K67" s="154">
        <f aca="true" t="shared" si="10" ref="K67:M68">K18</f>
        <v>250</v>
      </c>
      <c r="L67" s="155">
        <f t="shared" si="10"/>
        <v>500</v>
      </c>
      <c r="M67" s="155">
        <f t="shared" si="10"/>
        <v>750</v>
      </c>
      <c r="N67" s="179">
        <f>N18+N31+N44+N57</f>
        <v>750</v>
      </c>
      <c r="O67" s="156">
        <f>O18+O31+O44+O57</f>
        <v>1250</v>
      </c>
      <c r="P67" s="156">
        <f aca="true" t="shared" si="11" ref="P67:Z67">P18+P31+P44+P57</f>
        <v>1750</v>
      </c>
      <c r="Q67" s="156">
        <f t="shared" si="11"/>
        <v>2250</v>
      </c>
      <c r="R67" s="156">
        <f t="shared" si="11"/>
        <v>2750</v>
      </c>
      <c r="S67" s="156">
        <f t="shared" si="11"/>
        <v>3250</v>
      </c>
      <c r="T67" s="156">
        <f t="shared" si="11"/>
        <v>3750</v>
      </c>
      <c r="U67" s="156">
        <f t="shared" si="11"/>
        <v>4250</v>
      </c>
      <c r="V67" s="156">
        <f t="shared" si="11"/>
        <v>4750</v>
      </c>
      <c r="W67" s="156">
        <f t="shared" si="11"/>
        <v>5250</v>
      </c>
      <c r="X67" s="156">
        <f t="shared" si="11"/>
        <v>5750</v>
      </c>
      <c r="Y67" s="156">
        <f t="shared" si="11"/>
        <v>6250</v>
      </c>
      <c r="Z67" s="156">
        <f t="shared" si="11"/>
        <v>6750</v>
      </c>
      <c r="AA67" s="179">
        <f>AA18+AA31+AA44+AA57</f>
        <v>6750</v>
      </c>
      <c r="AB67" s="108">
        <f>AB18+AB31+AB44+AB57</f>
        <v>16500</v>
      </c>
      <c r="AC67" s="108">
        <f>AC18+AC31+AC44+AD57</f>
        <v>38100</v>
      </c>
      <c r="AD67" s="109">
        <f>AD18+AD31+AD44+AE57</f>
        <v>54450</v>
      </c>
      <c r="AE67" s="10"/>
    </row>
    <row r="68" spans="2:31" s="7" customFormat="1" ht="11.25">
      <c r="B68" s="70"/>
      <c r="C68" s="71" t="s">
        <v>202</v>
      </c>
      <c r="D68" s="71"/>
      <c r="E68" s="71"/>
      <c r="F68" s="71"/>
      <c r="G68" s="71"/>
      <c r="H68" s="71"/>
      <c r="I68" s="71"/>
      <c r="J68" s="71"/>
      <c r="K68" s="157">
        <f t="shared" si="10"/>
        <v>2.5</v>
      </c>
      <c r="L68" s="152">
        <f t="shared" si="10"/>
        <v>5</v>
      </c>
      <c r="M68" s="152">
        <f t="shared" si="10"/>
        <v>7.5</v>
      </c>
      <c r="N68" s="167">
        <f>N19+N32+N45+N58</f>
        <v>7.5</v>
      </c>
      <c r="O68" s="97">
        <f>O19+O32+O45+O58</f>
        <v>12.5</v>
      </c>
      <c r="P68" s="97">
        <f aca="true" t="shared" si="12" ref="P68:Z68">P19+P32+P45+P58</f>
        <v>17.5</v>
      </c>
      <c r="Q68" s="97">
        <f t="shared" si="12"/>
        <v>22.5</v>
      </c>
      <c r="R68" s="97">
        <f t="shared" si="12"/>
        <v>27.5</v>
      </c>
      <c r="S68" s="97">
        <f t="shared" si="12"/>
        <v>32.5</v>
      </c>
      <c r="T68" s="97">
        <f t="shared" si="12"/>
        <v>37.5</v>
      </c>
      <c r="U68" s="97">
        <f t="shared" si="12"/>
        <v>42.5</v>
      </c>
      <c r="V68" s="97">
        <f t="shared" si="12"/>
        <v>47.5</v>
      </c>
      <c r="W68" s="97">
        <f t="shared" si="12"/>
        <v>52.5</v>
      </c>
      <c r="X68" s="97">
        <f t="shared" si="12"/>
        <v>57.5</v>
      </c>
      <c r="Y68" s="97">
        <f t="shared" si="12"/>
        <v>62.5</v>
      </c>
      <c r="Z68" s="97">
        <f t="shared" si="12"/>
        <v>67.5</v>
      </c>
      <c r="AA68" s="167">
        <f>AA19+AA32+AA45+AA58</f>
        <v>67.5</v>
      </c>
      <c r="AB68" s="72">
        <f>AB19+AB32+AB45+AB58</f>
        <v>165</v>
      </c>
      <c r="AC68" s="72">
        <f>AC19+AC32+AC45+AD58</f>
        <v>381</v>
      </c>
      <c r="AD68" s="106">
        <f>AD19+AD32+AD45+AE58</f>
        <v>544.5</v>
      </c>
      <c r="AE68" s="10"/>
    </row>
    <row r="69" spans="2:31" s="7" customFormat="1" ht="12" thickBot="1">
      <c r="B69" s="73"/>
      <c r="C69" s="74" t="s">
        <v>0</v>
      </c>
      <c r="D69" s="74"/>
      <c r="E69" s="74"/>
      <c r="F69" s="74"/>
      <c r="G69" s="74"/>
      <c r="H69" s="74"/>
      <c r="I69" s="74"/>
      <c r="J69" s="74"/>
      <c r="K69" s="158">
        <f>K25+K38+K51+K64</f>
        <v>126000</v>
      </c>
      <c r="L69" s="153">
        <f>L25+L38+L51+L64</f>
        <v>159750</v>
      </c>
      <c r="M69" s="153">
        <f>M25+M38+M51+M64</f>
        <v>193500</v>
      </c>
      <c r="N69" s="180">
        <f>N25+N38+N51+N64</f>
        <v>479250</v>
      </c>
      <c r="O69" s="126">
        <f>O25+O38+O51+P64</f>
        <v>353250</v>
      </c>
      <c r="P69" s="126">
        <f aca="true" t="shared" si="13" ref="P69:Z69">P25+P38+P51+Q64</f>
        <v>420750</v>
      </c>
      <c r="Q69" s="126">
        <f t="shared" si="13"/>
        <v>488250</v>
      </c>
      <c r="R69" s="126">
        <f t="shared" si="13"/>
        <v>555750</v>
      </c>
      <c r="S69" s="126">
        <f t="shared" si="13"/>
        <v>623250</v>
      </c>
      <c r="T69" s="126">
        <f t="shared" si="13"/>
        <v>690750</v>
      </c>
      <c r="U69" s="126">
        <f t="shared" si="13"/>
        <v>758250</v>
      </c>
      <c r="V69" s="126">
        <f t="shared" si="13"/>
        <v>825750</v>
      </c>
      <c r="W69" s="126">
        <f t="shared" si="13"/>
        <v>893250</v>
      </c>
      <c r="X69" s="126">
        <f t="shared" si="13"/>
        <v>960750</v>
      </c>
      <c r="Y69" s="126">
        <f t="shared" si="13"/>
        <v>1028250</v>
      </c>
      <c r="Z69" s="126">
        <f t="shared" si="13"/>
        <v>1095750</v>
      </c>
      <c r="AA69" s="186">
        <f>AA25+AA38+AA51+AA64</f>
        <v>8694000</v>
      </c>
      <c r="AB69" s="75">
        <f>AB25+AB38+AB51+AB64</f>
        <v>28950750</v>
      </c>
      <c r="AC69" s="75">
        <f>AC25+AC38+AC51+AD64</f>
        <v>66684600</v>
      </c>
      <c r="AD69" s="111">
        <f>AD25+AD38+AD51+AE64</f>
        <v>91022400</v>
      </c>
      <c r="AE69" s="10"/>
    </row>
    <row r="70" spans="14:27" ht="12.75">
      <c r="N70" s="170"/>
      <c r="AA70" s="166"/>
    </row>
    <row r="71" spans="2:31" ht="15">
      <c r="B71" s="11" t="s">
        <v>113</v>
      </c>
      <c r="N71" s="170"/>
      <c r="Y71" s="110"/>
      <c r="Z71" s="110"/>
      <c r="AA71" s="166"/>
      <c r="AC71" s="8"/>
      <c r="AD71" s="8"/>
      <c r="AE71" s="8"/>
    </row>
    <row r="72" spans="3:31" ht="12.75">
      <c r="C72" s="3" t="s">
        <v>129</v>
      </c>
      <c r="N72" s="170"/>
      <c r="X72" s="159" t="s">
        <v>236</v>
      </c>
      <c r="Y72" s="2"/>
      <c r="Z72" s="2"/>
      <c r="AA72" s="187" t="s">
        <v>200</v>
      </c>
      <c r="AC72" s="8"/>
      <c r="AD72" s="8"/>
      <c r="AE72" s="8"/>
    </row>
    <row r="73" spans="3:31" ht="12.75">
      <c r="C73" s="4" t="s">
        <v>125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177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166"/>
      <c r="AB73" s="8">
        <v>100000</v>
      </c>
      <c r="AC73" s="8">
        <f>AB73*1</f>
        <v>100000</v>
      </c>
      <c r="AD73" s="8">
        <f>AC73*1</f>
        <v>100000</v>
      </c>
      <c r="AE73" s="8"/>
    </row>
    <row r="74" spans="3:31" ht="12.75">
      <c r="C74" s="4" t="s">
        <v>199</v>
      </c>
      <c r="D74" s="4"/>
      <c r="E74" s="4"/>
      <c r="F74" s="4"/>
      <c r="G74" s="4"/>
      <c r="H74" s="4"/>
      <c r="I74" s="4"/>
      <c r="J74" s="4"/>
      <c r="K74" s="4"/>
      <c r="L74" s="4"/>
      <c r="M74" s="4"/>
      <c r="N74" s="177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166"/>
      <c r="AB74" s="92">
        <v>0.03</v>
      </c>
      <c r="AC74" s="92">
        <v>0.05</v>
      </c>
      <c r="AD74" s="92">
        <v>0.07</v>
      </c>
      <c r="AE74" s="8"/>
    </row>
    <row r="75" spans="3:31" ht="12.75">
      <c r="C75" s="4" t="s">
        <v>126</v>
      </c>
      <c r="D75" s="4"/>
      <c r="E75" s="4"/>
      <c r="F75" s="4"/>
      <c r="G75" s="4"/>
      <c r="H75" s="4"/>
      <c r="I75" s="4"/>
      <c r="J75" s="4"/>
      <c r="K75" s="4"/>
      <c r="L75" s="4"/>
      <c r="M75" s="4"/>
      <c r="N75" s="177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166"/>
      <c r="AB75" s="8">
        <f>AB73*AB74</f>
        <v>3000</v>
      </c>
      <c r="AC75" s="8">
        <f>AC73*AC74</f>
        <v>5000</v>
      </c>
      <c r="AD75" s="8">
        <f>AD73*AD74</f>
        <v>7000.000000000001</v>
      </c>
      <c r="AE75" s="8"/>
    </row>
    <row r="76" spans="3:31" ht="12.75">
      <c r="C76" s="4" t="s">
        <v>127</v>
      </c>
      <c r="D76" s="4"/>
      <c r="E76" s="4"/>
      <c r="F76" s="4"/>
      <c r="G76" s="4"/>
      <c r="H76" s="4"/>
      <c r="I76" s="4"/>
      <c r="J76" s="4"/>
      <c r="K76" s="4"/>
      <c r="L76" s="4"/>
      <c r="M76" s="4"/>
      <c r="N76" s="177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166"/>
      <c r="AB76" s="8">
        <f>AB75</f>
        <v>3000</v>
      </c>
      <c r="AC76" s="8">
        <f>AB76+AC75</f>
        <v>8000</v>
      </c>
      <c r="AD76" s="8">
        <f>AC76+AD75</f>
        <v>15000</v>
      </c>
      <c r="AE76" s="8"/>
    </row>
    <row r="77" spans="3:31" ht="12.75">
      <c r="C77" s="4" t="s">
        <v>117</v>
      </c>
      <c r="D77" s="4"/>
      <c r="E77" s="4"/>
      <c r="F77" s="4"/>
      <c r="G77" s="4"/>
      <c r="H77" s="4"/>
      <c r="I77" s="4"/>
      <c r="J77" s="4"/>
      <c r="K77" s="4"/>
      <c r="L77" s="4"/>
      <c r="M77" s="4"/>
      <c r="N77" s="177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166"/>
      <c r="AB77" s="8">
        <f>AB76*AB4*12</f>
        <v>3564000</v>
      </c>
      <c r="AC77" s="8">
        <f>AC76*AC4*12</f>
        <v>9504000</v>
      </c>
      <c r="AD77" s="8">
        <f>AD76*AD4*12</f>
        <v>17820000</v>
      </c>
      <c r="AE77" s="8"/>
    </row>
    <row r="78" spans="3:31" ht="12.75">
      <c r="C78" s="4" t="s">
        <v>185</v>
      </c>
      <c r="D78" s="4"/>
      <c r="E78" s="4"/>
      <c r="F78" s="4"/>
      <c r="G78" s="4"/>
      <c r="H78" s="4"/>
      <c r="I78" s="4"/>
      <c r="J78" s="4"/>
      <c r="K78" s="4"/>
      <c r="L78" s="4"/>
      <c r="M78" s="4"/>
      <c r="N78" s="177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166"/>
      <c r="AB78" s="8">
        <f>AB76*AB5*12</f>
        <v>432000</v>
      </c>
      <c r="AC78" s="8">
        <f>AC76*AC5*12</f>
        <v>1152000</v>
      </c>
      <c r="AD78" s="8">
        <f>AD76*AD5*12</f>
        <v>2160000</v>
      </c>
      <c r="AE78" s="8"/>
    </row>
    <row r="79" spans="3:31" ht="12.75">
      <c r="C79" s="4" t="s">
        <v>116</v>
      </c>
      <c r="D79" s="4"/>
      <c r="E79" s="4"/>
      <c r="F79" s="4"/>
      <c r="G79" s="4"/>
      <c r="H79" s="4"/>
      <c r="I79" s="4"/>
      <c r="J79" s="4"/>
      <c r="K79" s="4"/>
      <c r="L79" s="4"/>
      <c r="M79" s="4"/>
      <c r="N79" s="177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166"/>
      <c r="AB79" s="8">
        <f>AB76*AB6*12</f>
        <v>864000</v>
      </c>
      <c r="AC79" s="8">
        <f>AC76*AC6*12</f>
        <v>2304000</v>
      </c>
      <c r="AD79" s="8">
        <f>AD76*AD6*12</f>
        <v>4320000</v>
      </c>
      <c r="AE79" s="8"/>
    </row>
    <row r="80" spans="3:31" ht="13.5" thickBot="1">
      <c r="C80" s="4" t="s">
        <v>225</v>
      </c>
      <c r="D80" s="4"/>
      <c r="E80" s="4"/>
      <c r="F80" s="4"/>
      <c r="G80" s="4"/>
      <c r="H80" s="4"/>
      <c r="I80" s="4"/>
      <c r="J80" s="4"/>
      <c r="K80" s="4"/>
      <c r="L80" s="4"/>
      <c r="M80" s="4"/>
      <c r="N80" s="177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166"/>
      <c r="AB80" s="126">
        <f>AB75*AB7</f>
        <v>747000</v>
      </c>
      <c r="AC80" s="126">
        <f>AC75*AC7</f>
        <v>1245000</v>
      </c>
      <c r="AD80" s="126">
        <f>AD75*AD7</f>
        <v>1743000.0000000002</v>
      </c>
      <c r="AE80" s="8"/>
    </row>
    <row r="81" spans="3:31" ht="12.75">
      <c r="C81" s="9" t="s">
        <v>132</v>
      </c>
      <c r="D81" s="9"/>
      <c r="E81" s="9"/>
      <c r="F81" s="9"/>
      <c r="G81" s="9"/>
      <c r="H81" s="9"/>
      <c r="I81" s="9"/>
      <c r="J81" s="9"/>
      <c r="K81" s="9"/>
      <c r="L81" s="9"/>
      <c r="M81" s="9"/>
      <c r="N81" s="176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166"/>
      <c r="AB81" s="8">
        <f>SUM(AB77:AB80)</f>
        <v>5607000</v>
      </c>
      <c r="AC81" s="8">
        <f>SUM(AC77:AC80)</f>
        <v>14205000</v>
      </c>
      <c r="AD81" s="8">
        <f>SUM(AD77:AD80)</f>
        <v>26043000</v>
      </c>
      <c r="AE81" s="8"/>
    </row>
    <row r="82" spans="14:31" ht="12.75">
      <c r="N82" s="170"/>
      <c r="AA82" s="174"/>
      <c r="AB82" s="8"/>
      <c r="AC82" s="8"/>
      <c r="AD82" s="8"/>
      <c r="AE82" s="8"/>
    </row>
    <row r="83" spans="3:31" ht="12.75">
      <c r="C83" s="3" t="s">
        <v>131</v>
      </c>
      <c r="N83" s="170"/>
      <c r="AA83" s="174"/>
      <c r="AB83" s="8"/>
      <c r="AC83" s="8"/>
      <c r="AD83" s="8"/>
      <c r="AE83" s="8"/>
    </row>
    <row r="84" spans="3:31" ht="12.75">
      <c r="C84" s="4" t="s">
        <v>125</v>
      </c>
      <c r="D84" s="4"/>
      <c r="E84" s="4"/>
      <c r="F84" s="4"/>
      <c r="G84" s="4"/>
      <c r="H84" s="4"/>
      <c r="I84" s="4"/>
      <c r="J84" s="4"/>
      <c r="K84" s="4"/>
      <c r="L84" s="4"/>
      <c r="M84" s="4"/>
      <c r="N84" s="177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166"/>
      <c r="AC84" s="8">
        <v>100000</v>
      </c>
      <c r="AD84" s="8">
        <f>AC84*1</f>
        <v>100000</v>
      </c>
      <c r="AE84" s="8"/>
    </row>
    <row r="85" spans="3:31" ht="12.75">
      <c r="C85" s="4" t="s">
        <v>199</v>
      </c>
      <c r="D85" s="4"/>
      <c r="E85" s="4"/>
      <c r="F85" s="4"/>
      <c r="G85" s="4"/>
      <c r="H85" s="4"/>
      <c r="I85" s="4"/>
      <c r="J85" s="4"/>
      <c r="K85" s="4"/>
      <c r="L85" s="4"/>
      <c r="M85" s="4"/>
      <c r="N85" s="177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166"/>
      <c r="AC85" s="92">
        <v>0.03</v>
      </c>
      <c r="AD85" s="92">
        <v>0.05</v>
      </c>
      <c r="AE85" s="8"/>
    </row>
    <row r="86" spans="3:31" ht="12.75">
      <c r="C86" s="4" t="s">
        <v>126</v>
      </c>
      <c r="D86" s="4"/>
      <c r="E86" s="4"/>
      <c r="F86" s="4"/>
      <c r="G86" s="4"/>
      <c r="H86" s="4"/>
      <c r="I86" s="4"/>
      <c r="J86" s="4"/>
      <c r="K86" s="4"/>
      <c r="L86" s="4"/>
      <c r="M86" s="4"/>
      <c r="N86" s="177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166"/>
      <c r="AC86" s="8">
        <f>AC84*AC85</f>
        <v>3000</v>
      </c>
      <c r="AD86" s="8">
        <f>AD84*AD85</f>
        <v>5000</v>
      </c>
      <c r="AE86" s="8"/>
    </row>
    <row r="87" spans="3:31" ht="12.75">
      <c r="C87" s="4" t="s">
        <v>127</v>
      </c>
      <c r="D87" s="4"/>
      <c r="E87" s="4"/>
      <c r="F87" s="4"/>
      <c r="G87" s="4"/>
      <c r="H87" s="4"/>
      <c r="I87" s="4"/>
      <c r="J87" s="4"/>
      <c r="K87" s="4"/>
      <c r="L87" s="4"/>
      <c r="M87" s="4"/>
      <c r="N87" s="177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166"/>
      <c r="AC87" s="8">
        <f>AC86</f>
        <v>3000</v>
      </c>
      <c r="AD87" s="8">
        <f>AC87+AD86</f>
        <v>8000</v>
      </c>
      <c r="AE87" s="8"/>
    </row>
    <row r="88" spans="3:31" ht="12.75">
      <c r="C88" s="4" t="s">
        <v>117</v>
      </c>
      <c r="D88" s="4"/>
      <c r="E88" s="4"/>
      <c r="F88" s="4"/>
      <c r="G88" s="4"/>
      <c r="H88" s="4"/>
      <c r="I88" s="4"/>
      <c r="J88" s="4"/>
      <c r="K88" s="4"/>
      <c r="L88" s="4"/>
      <c r="M88" s="4"/>
      <c r="N88" s="177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166"/>
      <c r="AC88" s="8">
        <f>AC87*AC4*12</f>
        <v>3564000</v>
      </c>
      <c r="AD88" s="8">
        <f>AD87*AD4*12</f>
        <v>9504000</v>
      </c>
      <c r="AE88" s="8"/>
    </row>
    <row r="89" spans="3:31" ht="12.75">
      <c r="C89" s="4" t="s">
        <v>185</v>
      </c>
      <c r="D89" s="4"/>
      <c r="E89" s="4"/>
      <c r="F89" s="4"/>
      <c r="G89" s="4"/>
      <c r="H89" s="4"/>
      <c r="I89" s="4"/>
      <c r="J89" s="4"/>
      <c r="K89" s="4"/>
      <c r="L89" s="4"/>
      <c r="M89" s="4"/>
      <c r="N89" s="177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166"/>
      <c r="AC89" s="8">
        <f>AC87*AC5*12</f>
        <v>432000</v>
      </c>
      <c r="AD89" s="8">
        <f>AD87*AD5*12</f>
        <v>1152000</v>
      </c>
      <c r="AE89" s="8"/>
    </row>
    <row r="90" spans="3:31" ht="12.75">
      <c r="C90" s="4" t="s">
        <v>116</v>
      </c>
      <c r="D90" s="4"/>
      <c r="E90" s="4"/>
      <c r="F90" s="4"/>
      <c r="G90" s="4"/>
      <c r="H90" s="4"/>
      <c r="I90" s="4"/>
      <c r="J90" s="4"/>
      <c r="K90" s="4"/>
      <c r="L90" s="4"/>
      <c r="M90" s="4"/>
      <c r="N90" s="177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166"/>
      <c r="AC90" s="8">
        <f>AC87*AC6*12</f>
        <v>864000</v>
      </c>
      <c r="AD90" s="8">
        <f>AD87*AD6*12</f>
        <v>2304000</v>
      </c>
      <c r="AE90" s="8"/>
    </row>
    <row r="91" spans="3:31" ht="13.5" thickBot="1">
      <c r="C91" s="4" t="s">
        <v>225</v>
      </c>
      <c r="D91" s="4"/>
      <c r="E91" s="4"/>
      <c r="F91" s="4"/>
      <c r="G91" s="4"/>
      <c r="H91" s="4"/>
      <c r="I91" s="4"/>
      <c r="J91" s="4"/>
      <c r="K91" s="4"/>
      <c r="L91" s="4"/>
      <c r="M91" s="4"/>
      <c r="N91" s="177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166"/>
      <c r="AB91" s="8"/>
      <c r="AC91" s="126">
        <f>AC86*AC7</f>
        <v>747000</v>
      </c>
      <c r="AD91" s="126">
        <f>AD86*AD7</f>
        <v>1245000</v>
      </c>
      <c r="AE91" s="8"/>
    </row>
    <row r="92" spans="3:31" ht="12.75">
      <c r="C92" s="9" t="s">
        <v>133</v>
      </c>
      <c r="D92" s="9"/>
      <c r="E92" s="9"/>
      <c r="F92" s="9"/>
      <c r="G92" s="9"/>
      <c r="H92" s="9"/>
      <c r="I92" s="9"/>
      <c r="J92" s="9"/>
      <c r="K92" s="9"/>
      <c r="L92" s="9"/>
      <c r="M92" s="9"/>
      <c r="N92" s="176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166"/>
      <c r="AC92" s="8">
        <f>SUM(AC88:AC91)</f>
        <v>5607000</v>
      </c>
      <c r="AD92" s="8">
        <f>SUM(AD88:AD91)</f>
        <v>14205000</v>
      </c>
      <c r="AE92" s="8"/>
    </row>
    <row r="93" spans="14:31" ht="12.75">
      <c r="N93" s="170"/>
      <c r="AA93" s="174"/>
      <c r="AB93" s="8"/>
      <c r="AC93" s="8"/>
      <c r="AD93" s="8"/>
      <c r="AE93" s="8"/>
    </row>
    <row r="94" spans="3:31" ht="12.75">
      <c r="C94" s="3" t="s">
        <v>130</v>
      </c>
      <c r="N94" s="170"/>
      <c r="AA94" s="174"/>
      <c r="AB94" s="8"/>
      <c r="AC94" s="8"/>
      <c r="AD94" s="8"/>
      <c r="AE94" s="8"/>
    </row>
    <row r="95" spans="3:32" ht="12.75">
      <c r="C95" s="4" t="s">
        <v>125</v>
      </c>
      <c r="D95" s="4"/>
      <c r="E95" s="4"/>
      <c r="F95" s="4"/>
      <c r="G95" s="4"/>
      <c r="H95" s="4"/>
      <c r="I95" s="4"/>
      <c r="J95" s="4"/>
      <c r="K95" s="4"/>
      <c r="L95" s="4"/>
      <c r="M95" s="4"/>
      <c r="N95" s="177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166"/>
      <c r="AD95" s="8">
        <v>100000</v>
      </c>
      <c r="AE95" s="8"/>
      <c r="AF95" s="8"/>
    </row>
    <row r="96" spans="3:32" ht="12.75">
      <c r="C96" s="4" t="s">
        <v>199</v>
      </c>
      <c r="D96" s="4"/>
      <c r="E96" s="4"/>
      <c r="F96" s="4"/>
      <c r="G96" s="4"/>
      <c r="H96" s="4"/>
      <c r="I96" s="4"/>
      <c r="J96" s="4"/>
      <c r="K96" s="4"/>
      <c r="L96" s="4"/>
      <c r="M96" s="4"/>
      <c r="N96" s="177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166"/>
      <c r="AD96" s="92">
        <v>0.03</v>
      </c>
      <c r="AE96" s="92"/>
      <c r="AF96" s="8"/>
    </row>
    <row r="97" spans="3:32" ht="12.75">
      <c r="C97" s="4" t="s">
        <v>126</v>
      </c>
      <c r="D97" s="4"/>
      <c r="E97" s="4"/>
      <c r="F97" s="4"/>
      <c r="G97" s="4"/>
      <c r="H97" s="4"/>
      <c r="I97" s="4"/>
      <c r="J97" s="4"/>
      <c r="K97" s="4"/>
      <c r="L97" s="4"/>
      <c r="M97" s="4"/>
      <c r="N97" s="177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166"/>
      <c r="AD97" s="8">
        <f>AD95*AD96</f>
        <v>3000</v>
      </c>
      <c r="AE97" s="8"/>
      <c r="AF97" s="8"/>
    </row>
    <row r="98" spans="3:32" ht="12.75">
      <c r="C98" s="4" t="s">
        <v>127</v>
      </c>
      <c r="D98" s="4"/>
      <c r="E98" s="4"/>
      <c r="F98" s="4"/>
      <c r="G98" s="4"/>
      <c r="H98" s="4"/>
      <c r="I98" s="4"/>
      <c r="J98" s="4"/>
      <c r="K98" s="4"/>
      <c r="L98" s="4"/>
      <c r="M98" s="4"/>
      <c r="N98" s="177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166"/>
      <c r="AD98" s="8">
        <f>AD97</f>
        <v>3000</v>
      </c>
      <c r="AE98" s="8"/>
      <c r="AF98" s="8"/>
    </row>
    <row r="99" spans="3:32" ht="12.75">
      <c r="C99" s="4" t="s">
        <v>117</v>
      </c>
      <c r="D99" s="4"/>
      <c r="E99" s="4"/>
      <c r="F99" s="4"/>
      <c r="G99" s="4"/>
      <c r="H99" s="4"/>
      <c r="I99" s="4"/>
      <c r="J99" s="4"/>
      <c r="K99" s="4"/>
      <c r="L99" s="4"/>
      <c r="M99" s="4"/>
      <c r="N99" s="177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166"/>
      <c r="AD99" s="8">
        <f>AD98*AD4*12</f>
        <v>3564000</v>
      </c>
      <c r="AE99" s="8"/>
      <c r="AF99" s="8"/>
    </row>
    <row r="100" spans="3:32" ht="12.75">
      <c r="C100" s="4" t="s">
        <v>185</v>
      </c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177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166"/>
      <c r="AD100" s="8">
        <f>AD98*AD5*12</f>
        <v>432000</v>
      </c>
      <c r="AE100" s="8"/>
      <c r="AF100" s="8"/>
    </row>
    <row r="101" spans="3:32" ht="12.75">
      <c r="C101" s="4" t="s">
        <v>116</v>
      </c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177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166"/>
      <c r="AD101" s="8">
        <f>AD98*AD6*12</f>
        <v>864000</v>
      </c>
      <c r="AE101" s="8"/>
      <c r="AF101" s="8"/>
    </row>
    <row r="102" spans="3:32" ht="13.5" thickBot="1">
      <c r="C102" s="4" t="s">
        <v>225</v>
      </c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177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166"/>
      <c r="AD102" s="126">
        <f>AD97*AD7</f>
        <v>747000</v>
      </c>
      <c r="AE102" s="8"/>
      <c r="AF102" s="8"/>
    </row>
    <row r="103" spans="3:32" ht="12.75">
      <c r="C103" s="9" t="s">
        <v>134</v>
      </c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176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166"/>
      <c r="AD103" s="8">
        <f>SUM(AD99:AD102)</f>
        <v>5607000</v>
      </c>
      <c r="AE103" s="8"/>
      <c r="AF103" s="8"/>
    </row>
    <row r="104" spans="3:31" ht="12.75"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176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166"/>
      <c r="AD104" s="8"/>
      <c r="AE104" s="8"/>
    </row>
    <row r="105" spans="1:31" s="3" customFormat="1" ht="12">
      <c r="A105" s="162"/>
      <c r="B105" s="189" t="s">
        <v>128</v>
      </c>
      <c r="C105" s="190"/>
      <c r="D105" s="190"/>
      <c r="E105" s="190"/>
      <c r="F105" s="190"/>
      <c r="G105" s="190"/>
      <c r="H105" s="190"/>
      <c r="I105" s="190"/>
      <c r="J105" s="190"/>
      <c r="K105" s="190"/>
      <c r="L105" s="190"/>
      <c r="M105" s="190"/>
      <c r="N105" s="165"/>
      <c r="O105" s="114"/>
      <c r="P105" s="114"/>
      <c r="Q105" s="114"/>
      <c r="R105" s="114"/>
      <c r="S105" s="114"/>
      <c r="T105" s="114"/>
      <c r="U105" s="114"/>
      <c r="V105" s="114"/>
      <c r="W105" s="114"/>
      <c r="X105" s="114"/>
      <c r="Y105" s="114"/>
      <c r="Z105" s="114"/>
      <c r="AA105" s="165" t="s">
        <v>165</v>
      </c>
      <c r="AB105" s="196" t="s">
        <v>166</v>
      </c>
      <c r="AC105" s="191" t="s">
        <v>167</v>
      </c>
      <c r="AD105" s="192" t="s">
        <v>168</v>
      </c>
      <c r="AE105" s="8"/>
    </row>
    <row r="106" spans="1:31" s="3" customFormat="1" ht="11.25">
      <c r="A106" s="94"/>
      <c r="B106" s="93"/>
      <c r="C106" s="71" t="s">
        <v>123</v>
      </c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176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167"/>
      <c r="AB106" s="72">
        <f>AB75+AB86+AB97</f>
        <v>3000</v>
      </c>
      <c r="AC106" s="72">
        <f>AC75+AC86+AC97</f>
        <v>8000</v>
      </c>
      <c r="AD106" s="106">
        <f>AD75+AD86+AD97</f>
        <v>15000</v>
      </c>
      <c r="AE106" s="8"/>
    </row>
    <row r="107" spans="1:31" s="3" customFormat="1" ht="11.25">
      <c r="A107" s="193"/>
      <c r="B107" s="194"/>
      <c r="C107" s="102" t="s">
        <v>0</v>
      </c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95"/>
      <c r="O107" s="102"/>
      <c r="P107" s="102"/>
      <c r="Q107" s="102"/>
      <c r="R107" s="102"/>
      <c r="S107" s="102"/>
      <c r="T107" s="102"/>
      <c r="U107" s="102"/>
      <c r="V107" s="102"/>
      <c r="W107" s="102"/>
      <c r="X107" s="102"/>
      <c r="Y107" s="102"/>
      <c r="Z107" s="102"/>
      <c r="AA107" s="169"/>
      <c r="AB107" s="103">
        <f>AB81+AB92+AB103</f>
        <v>5607000</v>
      </c>
      <c r="AC107" s="103">
        <f>AC81+AC92+AC103</f>
        <v>19812000</v>
      </c>
      <c r="AD107" s="105">
        <f>AD81+AD92+AD103</f>
        <v>45855000</v>
      </c>
      <c r="AE107" s="8"/>
    </row>
    <row r="108" spans="14:27" ht="12.75">
      <c r="N108" s="170"/>
      <c r="AA108" s="166"/>
    </row>
    <row r="109" spans="2:30" ht="12.75">
      <c r="B109" s="1" t="s">
        <v>136</v>
      </c>
      <c r="C109" s="2"/>
      <c r="D109" s="76">
        <f aca="true" t="shared" si="14" ref="D109:M109">D69+D107</f>
        <v>0</v>
      </c>
      <c r="E109" s="76">
        <f t="shared" si="14"/>
        <v>0</v>
      </c>
      <c r="F109" s="76">
        <f t="shared" si="14"/>
        <v>0</v>
      </c>
      <c r="G109" s="76">
        <f t="shared" si="14"/>
        <v>0</v>
      </c>
      <c r="H109" s="76">
        <f t="shared" si="14"/>
        <v>0</v>
      </c>
      <c r="I109" s="76">
        <f t="shared" si="14"/>
        <v>0</v>
      </c>
      <c r="J109" s="76">
        <f t="shared" si="14"/>
        <v>0</v>
      </c>
      <c r="K109" s="76">
        <f t="shared" si="14"/>
        <v>126000</v>
      </c>
      <c r="L109" s="76">
        <f t="shared" si="14"/>
        <v>159750</v>
      </c>
      <c r="M109" s="76">
        <f t="shared" si="14"/>
        <v>193500</v>
      </c>
      <c r="N109" s="181">
        <f>N69+N107</f>
        <v>479250</v>
      </c>
      <c r="O109" s="76">
        <f aca="true" t="shared" si="15" ref="O109:Z109">O69+O107</f>
        <v>353250</v>
      </c>
      <c r="P109" s="76">
        <f t="shared" si="15"/>
        <v>420750</v>
      </c>
      <c r="Q109" s="76">
        <f t="shared" si="15"/>
        <v>488250</v>
      </c>
      <c r="R109" s="76">
        <f t="shared" si="15"/>
        <v>555750</v>
      </c>
      <c r="S109" s="76">
        <f t="shared" si="15"/>
        <v>623250</v>
      </c>
      <c r="T109" s="76">
        <f t="shared" si="15"/>
        <v>690750</v>
      </c>
      <c r="U109" s="76">
        <f t="shared" si="15"/>
        <v>758250</v>
      </c>
      <c r="V109" s="76">
        <f t="shared" si="15"/>
        <v>825750</v>
      </c>
      <c r="W109" s="76">
        <f t="shared" si="15"/>
        <v>893250</v>
      </c>
      <c r="X109" s="76">
        <f t="shared" si="15"/>
        <v>960750</v>
      </c>
      <c r="Y109" s="76">
        <f t="shared" si="15"/>
        <v>1028250</v>
      </c>
      <c r="Z109" s="76">
        <f t="shared" si="15"/>
        <v>1095750</v>
      </c>
      <c r="AA109" s="181">
        <f>AA69+AA107</f>
        <v>8694000</v>
      </c>
      <c r="AB109" s="77">
        <f>AB69+AB107</f>
        <v>34557750</v>
      </c>
      <c r="AC109" s="77">
        <f>AC69+AC107</f>
        <v>86496600</v>
      </c>
      <c r="AD109" s="77">
        <f>AD69+AD107</f>
        <v>136877400</v>
      </c>
    </row>
    <row r="110" spans="14:27" ht="12.75">
      <c r="N110" s="170"/>
      <c r="AA110" s="166"/>
    </row>
    <row r="111" spans="1:30" ht="12.75">
      <c r="A111" s="175" t="s">
        <v>238</v>
      </c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182" t="s">
        <v>164</v>
      </c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  <c r="AA111" s="182" t="s">
        <v>165</v>
      </c>
      <c r="AB111" s="79" t="s">
        <v>166</v>
      </c>
      <c r="AC111" s="80" t="s">
        <v>167</v>
      </c>
      <c r="AD111" s="81" t="s">
        <v>168</v>
      </c>
    </row>
    <row r="112" spans="1:30" ht="12.75">
      <c r="A112" s="55"/>
      <c r="B112" s="82" t="s">
        <v>114</v>
      </c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183"/>
      <c r="O112" s="82"/>
      <c r="P112" s="82"/>
      <c r="Q112" s="82"/>
      <c r="R112" s="82"/>
      <c r="S112" s="82"/>
      <c r="T112" s="82"/>
      <c r="U112" s="82"/>
      <c r="V112" s="82"/>
      <c r="W112" s="82"/>
      <c r="X112" s="82"/>
      <c r="Y112" s="82"/>
      <c r="Z112" s="82"/>
      <c r="AA112" s="117"/>
      <c r="AB112" s="50"/>
      <c r="AC112" s="51"/>
      <c r="AD112" s="83"/>
    </row>
    <row r="113" spans="1:30" ht="12.75">
      <c r="A113" s="56"/>
      <c r="B113" s="82"/>
      <c r="C113" s="82" t="s">
        <v>124</v>
      </c>
      <c r="D113" s="90">
        <v>1</v>
      </c>
      <c r="E113" s="90">
        <v>1</v>
      </c>
      <c r="F113" s="90">
        <v>1</v>
      </c>
      <c r="G113" s="90">
        <v>1</v>
      </c>
      <c r="H113" s="90">
        <v>1</v>
      </c>
      <c r="I113" s="90">
        <v>1</v>
      </c>
      <c r="J113" s="90">
        <v>1</v>
      </c>
      <c r="K113" s="90">
        <v>1</v>
      </c>
      <c r="L113" s="90">
        <v>1</v>
      </c>
      <c r="M113" s="90">
        <v>1</v>
      </c>
      <c r="N113" s="184">
        <v>1</v>
      </c>
      <c r="O113" s="90">
        <v>1</v>
      </c>
      <c r="P113" s="90">
        <v>1</v>
      </c>
      <c r="Q113" s="90">
        <v>1</v>
      </c>
      <c r="R113" s="90">
        <v>1</v>
      </c>
      <c r="S113" s="90">
        <v>1</v>
      </c>
      <c r="T113" s="90">
        <v>1</v>
      </c>
      <c r="U113" s="90">
        <v>1</v>
      </c>
      <c r="V113" s="90">
        <v>1</v>
      </c>
      <c r="W113" s="90">
        <v>1</v>
      </c>
      <c r="X113" s="90">
        <v>1</v>
      </c>
      <c r="Y113" s="90">
        <v>1</v>
      </c>
      <c r="Z113" s="90">
        <v>1</v>
      </c>
      <c r="AA113" s="188">
        <v>1</v>
      </c>
      <c r="AB113" s="84">
        <v>2</v>
      </c>
      <c r="AC113" s="84">
        <v>3</v>
      </c>
      <c r="AD113" s="85">
        <v>4</v>
      </c>
    </row>
    <row r="114" spans="1:30" ht="12.75">
      <c r="A114" s="56"/>
      <c r="B114" s="82"/>
      <c r="C114" s="82" t="s">
        <v>237</v>
      </c>
      <c r="D114" s="90">
        <f>D17+D30+D43+D56</f>
        <v>0</v>
      </c>
      <c r="E114" s="90">
        <f aca="true" t="shared" si="16" ref="E114:AD114">E17+E30+E43+E56</f>
        <v>0</v>
      </c>
      <c r="F114" s="90">
        <f t="shared" si="16"/>
        <v>0</v>
      </c>
      <c r="G114" s="90">
        <f t="shared" si="16"/>
        <v>0</v>
      </c>
      <c r="H114" s="90">
        <f t="shared" si="16"/>
        <v>0</v>
      </c>
      <c r="I114" s="90">
        <f t="shared" si="16"/>
        <v>0</v>
      </c>
      <c r="J114" s="90">
        <f t="shared" si="16"/>
        <v>0</v>
      </c>
      <c r="K114" s="90">
        <f t="shared" si="16"/>
        <v>250</v>
      </c>
      <c r="L114" s="90">
        <f t="shared" si="16"/>
        <v>250</v>
      </c>
      <c r="M114" s="90">
        <f t="shared" si="16"/>
        <v>250</v>
      </c>
      <c r="N114" s="184">
        <f t="shared" si="16"/>
        <v>750</v>
      </c>
      <c r="O114" s="90">
        <f t="shared" si="16"/>
        <v>500</v>
      </c>
      <c r="P114" s="90">
        <f t="shared" si="16"/>
        <v>500</v>
      </c>
      <c r="Q114" s="90">
        <f t="shared" si="16"/>
        <v>500</v>
      </c>
      <c r="R114" s="90">
        <f t="shared" si="16"/>
        <v>500</v>
      </c>
      <c r="S114" s="90">
        <f t="shared" si="16"/>
        <v>500</v>
      </c>
      <c r="T114" s="90">
        <f t="shared" si="16"/>
        <v>500</v>
      </c>
      <c r="U114" s="90">
        <f t="shared" si="16"/>
        <v>500</v>
      </c>
      <c r="V114" s="90">
        <f t="shared" si="16"/>
        <v>500</v>
      </c>
      <c r="W114" s="90">
        <f t="shared" si="16"/>
        <v>500</v>
      </c>
      <c r="X114" s="90">
        <f t="shared" si="16"/>
        <v>500</v>
      </c>
      <c r="Y114" s="90">
        <f t="shared" si="16"/>
        <v>500</v>
      </c>
      <c r="Z114" s="90">
        <f t="shared" si="16"/>
        <v>500</v>
      </c>
      <c r="AA114" s="184">
        <f t="shared" si="16"/>
        <v>6000</v>
      </c>
      <c r="AB114" s="90">
        <f t="shared" si="16"/>
        <v>9750</v>
      </c>
      <c r="AC114" s="90">
        <f t="shared" si="16"/>
        <v>17400</v>
      </c>
      <c r="AD114" s="91">
        <f t="shared" si="16"/>
        <v>24750</v>
      </c>
    </row>
    <row r="115" spans="1:30" ht="12.75">
      <c r="A115" s="56"/>
      <c r="B115" s="82"/>
      <c r="C115" s="82" t="s">
        <v>111</v>
      </c>
      <c r="D115" s="90">
        <f aca="true" t="shared" si="17" ref="D115:M115">D18+D31+D44+D57</f>
        <v>0</v>
      </c>
      <c r="E115" s="90">
        <f t="shared" si="17"/>
        <v>0</v>
      </c>
      <c r="F115" s="90">
        <f t="shared" si="17"/>
        <v>0</v>
      </c>
      <c r="G115" s="90">
        <f t="shared" si="17"/>
        <v>0</v>
      </c>
      <c r="H115" s="90">
        <f t="shared" si="17"/>
        <v>0</v>
      </c>
      <c r="I115" s="90">
        <f t="shared" si="17"/>
        <v>0</v>
      </c>
      <c r="J115" s="90">
        <f t="shared" si="17"/>
        <v>0</v>
      </c>
      <c r="K115" s="90">
        <f t="shared" si="17"/>
        <v>250</v>
      </c>
      <c r="L115" s="90">
        <f t="shared" si="17"/>
        <v>500</v>
      </c>
      <c r="M115" s="90">
        <f t="shared" si="17"/>
        <v>750</v>
      </c>
      <c r="N115" s="184">
        <f>N18+N31+N44+N57</f>
        <v>750</v>
      </c>
      <c r="O115" s="90">
        <f aca="true" t="shared" si="18" ref="O115:Z115">O18+O31+O44+O57</f>
        <v>1250</v>
      </c>
      <c r="P115" s="90">
        <f t="shared" si="18"/>
        <v>1750</v>
      </c>
      <c r="Q115" s="90">
        <f t="shared" si="18"/>
        <v>2250</v>
      </c>
      <c r="R115" s="90">
        <f t="shared" si="18"/>
        <v>2750</v>
      </c>
      <c r="S115" s="90">
        <f t="shared" si="18"/>
        <v>3250</v>
      </c>
      <c r="T115" s="90">
        <f t="shared" si="18"/>
        <v>3750</v>
      </c>
      <c r="U115" s="90">
        <f t="shared" si="18"/>
        <v>4250</v>
      </c>
      <c r="V115" s="90">
        <f t="shared" si="18"/>
        <v>4750</v>
      </c>
      <c r="W115" s="90">
        <f t="shared" si="18"/>
        <v>5250</v>
      </c>
      <c r="X115" s="90">
        <f t="shared" si="18"/>
        <v>5750</v>
      </c>
      <c r="Y115" s="90">
        <f t="shared" si="18"/>
        <v>6250</v>
      </c>
      <c r="Z115" s="90">
        <f t="shared" si="18"/>
        <v>6750</v>
      </c>
      <c r="AA115" s="184">
        <f>AA18+AA31+AA44+AA57</f>
        <v>6750</v>
      </c>
      <c r="AB115" s="90">
        <f>AB18+AB31+AB44+AB57</f>
        <v>16500</v>
      </c>
      <c r="AC115" s="90">
        <f>AC18+AC31+AC44+AD57</f>
        <v>38100</v>
      </c>
      <c r="AD115" s="91">
        <f>AD18+AD31+AD44+AE57</f>
        <v>54450</v>
      </c>
    </row>
    <row r="116" spans="1:30" ht="12.75">
      <c r="A116" s="56"/>
      <c r="B116" s="82"/>
      <c r="C116" s="82" t="s">
        <v>135</v>
      </c>
      <c r="D116" s="90">
        <f aca="true" t="shared" si="19" ref="D116:M116">D19+D32+D45+D58</f>
        <v>0</v>
      </c>
      <c r="E116" s="90">
        <f t="shared" si="19"/>
        <v>0</v>
      </c>
      <c r="F116" s="90">
        <f t="shared" si="19"/>
        <v>0</v>
      </c>
      <c r="G116" s="90">
        <f t="shared" si="19"/>
        <v>0</v>
      </c>
      <c r="H116" s="90">
        <f t="shared" si="19"/>
        <v>0</v>
      </c>
      <c r="I116" s="90">
        <f t="shared" si="19"/>
        <v>0</v>
      </c>
      <c r="J116" s="90">
        <f t="shared" si="19"/>
        <v>0</v>
      </c>
      <c r="K116" s="90">
        <f t="shared" si="19"/>
        <v>2.5</v>
      </c>
      <c r="L116" s="90">
        <f t="shared" si="19"/>
        <v>5</v>
      </c>
      <c r="M116" s="90">
        <f t="shared" si="19"/>
        <v>7.5</v>
      </c>
      <c r="N116" s="184">
        <f>N19+N32+N45+N58</f>
        <v>7.5</v>
      </c>
      <c r="O116" s="90">
        <f aca="true" t="shared" si="20" ref="O116:Z116">O19+O32+O45+O58</f>
        <v>12.5</v>
      </c>
      <c r="P116" s="90">
        <f t="shared" si="20"/>
        <v>17.5</v>
      </c>
      <c r="Q116" s="90">
        <f t="shared" si="20"/>
        <v>22.5</v>
      </c>
      <c r="R116" s="90">
        <f t="shared" si="20"/>
        <v>27.5</v>
      </c>
      <c r="S116" s="90">
        <f t="shared" si="20"/>
        <v>32.5</v>
      </c>
      <c r="T116" s="90">
        <f t="shared" si="20"/>
        <v>37.5</v>
      </c>
      <c r="U116" s="90">
        <f t="shared" si="20"/>
        <v>42.5</v>
      </c>
      <c r="V116" s="90">
        <f t="shared" si="20"/>
        <v>47.5</v>
      </c>
      <c r="W116" s="90">
        <f t="shared" si="20"/>
        <v>52.5</v>
      </c>
      <c r="X116" s="90">
        <f t="shared" si="20"/>
        <v>57.5</v>
      </c>
      <c r="Y116" s="90">
        <f t="shared" si="20"/>
        <v>62.5</v>
      </c>
      <c r="Z116" s="90">
        <f t="shared" si="20"/>
        <v>67.5</v>
      </c>
      <c r="AA116" s="184">
        <f>AA19+AA32+AA45+AA58</f>
        <v>67.5</v>
      </c>
      <c r="AB116" s="90">
        <f>AB19+AB32+AB45+AB58</f>
        <v>165</v>
      </c>
      <c r="AC116" s="90">
        <f>AC19+AC32+AC45+AD58</f>
        <v>381</v>
      </c>
      <c r="AD116" s="91">
        <f>AD19+AD32+AD45+AE58</f>
        <v>544.5</v>
      </c>
    </row>
    <row r="117" spans="1:30" ht="12.75">
      <c r="A117" s="55"/>
      <c r="B117" s="82" t="s">
        <v>113</v>
      </c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184"/>
      <c r="O117" s="90"/>
      <c r="P117" s="90"/>
      <c r="Q117" s="90"/>
      <c r="R117" s="90"/>
      <c r="S117" s="90"/>
      <c r="T117" s="90"/>
      <c r="U117" s="90"/>
      <c r="V117" s="90"/>
      <c r="W117" s="90"/>
      <c r="X117" s="90"/>
      <c r="Y117" s="90"/>
      <c r="Z117" s="90"/>
      <c r="AA117" s="188"/>
      <c r="AB117" s="84"/>
      <c r="AC117" s="84"/>
      <c r="AD117" s="85"/>
    </row>
    <row r="118" spans="1:30" ht="12.75">
      <c r="A118" s="56"/>
      <c r="B118" s="82"/>
      <c r="C118" s="82" t="s">
        <v>124</v>
      </c>
      <c r="D118" s="90">
        <v>0</v>
      </c>
      <c r="E118" s="90">
        <v>0</v>
      </c>
      <c r="F118" s="90">
        <v>0</v>
      </c>
      <c r="G118" s="90">
        <v>0</v>
      </c>
      <c r="H118" s="90">
        <v>0</v>
      </c>
      <c r="I118" s="90">
        <v>0</v>
      </c>
      <c r="J118" s="90">
        <v>0</v>
      </c>
      <c r="K118" s="90">
        <v>0</v>
      </c>
      <c r="L118" s="90">
        <v>0</v>
      </c>
      <c r="M118" s="90">
        <v>0</v>
      </c>
      <c r="N118" s="184">
        <v>0</v>
      </c>
      <c r="O118" s="90">
        <v>0</v>
      </c>
      <c r="P118" s="90">
        <v>0</v>
      </c>
      <c r="Q118" s="90">
        <v>0</v>
      </c>
      <c r="R118" s="90">
        <v>0</v>
      </c>
      <c r="S118" s="90">
        <v>0</v>
      </c>
      <c r="T118" s="90">
        <v>0</v>
      </c>
      <c r="U118" s="90">
        <v>0</v>
      </c>
      <c r="V118" s="90">
        <v>0</v>
      </c>
      <c r="W118" s="90">
        <v>0</v>
      </c>
      <c r="X118" s="90">
        <v>0</v>
      </c>
      <c r="Y118" s="90">
        <v>0</v>
      </c>
      <c r="Z118" s="90">
        <v>0</v>
      </c>
      <c r="AA118" s="184">
        <v>0</v>
      </c>
      <c r="AB118" s="84">
        <v>1</v>
      </c>
      <c r="AC118" s="84">
        <v>2</v>
      </c>
      <c r="AD118" s="85">
        <v>3</v>
      </c>
    </row>
    <row r="119" spans="1:30" ht="12.75">
      <c r="A119" s="56"/>
      <c r="B119" s="82"/>
      <c r="C119" s="82" t="s">
        <v>237</v>
      </c>
      <c r="D119" s="90">
        <f>D75+D86+D97</f>
        <v>0</v>
      </c>
      <c r="E119" s="90">
        <f aca="true" t="shared" si="21" ref="E119:AD119">E75+E86+E97</f>
        <v>0</v>
      </c>
      <c r="F119" s="90">
        <f t="shared" si="21"/>
        <v>0</v>
      </c>
      <c r="G119" s="90">
        <f t="shared" si="21"/>
        <v>0</v>
      </c>
      <c r="H119" s="90">
        <f t="shared" si="21"/>
        <v>0</v>
      </c>
      <c r="I119" s="90">
        <f t="shared" si="21"/>
        <v>0</v>
      </c>
      <c r="J119" s="90">
        <f t="shared" si="21"/>
        <v>0</v>
      </c>
      <c r="K119" s="90">
        <f t="shared" si="21"/>
        <v>0</v>
      </c>
      <c r="L119" s="90">
        <f t="shared" si="21"/>
        <v>0</v>
      </c>
      <c r="M119" s="90">
        <f t="shared" si="21"/>
        <v>0</v>
      </c>
      <c r="N119" s="184">
        <f t="shared" si="21"/>
        <v>0</v>
      </c>
      <c r="O119" s="90">
        <f t="shared" si="21"/>
        <v>0</v>
      </c>
      <c r="P119" s="90">
        <f t="shared" si="21"/>
        <v>0</v>
      </c>
      <c r="Q119" s="90">
        <f t="shared" si="21"/>
        <v>0</v>
      </c>
      <c r="R119" s="90">
        <f t="shared" si="21"/>
        <v>0</v>
      </c>
      <c r="S119" s="90">
        <f t="shared" si="21"/>
        <v>0</v>
      </c>
      <c r="T119" s="90">
        <f t="shared" si="21"/>
        <v>0</v>
      </c>
      <c r="U119" s="90">
        <f t="shared" si="21"/>
        <v>0</v>
      </c>
      <c r="V119" s="90">
        <f t="shared" si="21"/>
        <v>0</v>
      </c>
      <c r="W119" s="90">
        <f t="shared" si="21"/>
        <v>0</v>
      </c>
      <c r="X119" s="90">
        <f t="shared" si="21"/>
        <v>0</v>
      </c>
      <c r="Y119" s="90">
        <f t="shared" si="21"/>
        <v>0</v>
      </c>
      <c r="Z119" s="90">
        <f t="shared" si="21"/>
        <v>0</v>
      </c>
      <c r="AA119" s="184">
        <f t="shared" si="21"/>
        <v>0</v>
      </c>
      <c r="AB119" s="90">
        <f t="shared" si="21"/>
        <v>3000</v>
      </c>
      <c r="AC119" s="90">
        <f t="shared" si="21"/>
        <v>8000</v>
      </c>
      <c r="AD119" s="91">
        <f t="shared" si="21"/>
        <v>15000</v>
      </c>
    </row>
    <row r="120" spans="1:30" ht="12.75">
      <c r="A120" s="56"/>
      <c r="B120" s="82"/>
      <c r="C120" s="82" t="s">
        <v>111</v>
      </c>
      <c r="D120" s="90">
        <f aca="true" t="shared" si="22" ref="D120:AA120">D76+D87+D98</f>
        <v>0</v>
      </c>
      <c r="E120" s="90">
        <f t="shared" si="22"/>
        <v>0</v>
      </c>
      <c r="F120" s="90">
        <f t="shared" si="22"/>
        <v>0</v>
      </c>
      <c r="G120" s="90">
        <f t="shared" si="22"/>
        <v>0</v>
      </c>
      <c r="H120" s="90">
        <f t="shared" si="22"/>
        <v>0</v>
      </c>
      <c r="I120" s="90">
        <f t="shared" si="22"/>
        <v>0</v>
      </c>
      <c r="J120" s="90">
        <f t="shared" si="22"/>
        <v>0</v>
      </c>
      <c r="K120" s="90">
        <f t="shared" si="22"/>
        <v>0</v>
      </c>
      <c r="L120" s="90">
        <f t="shared" si="22"/>
        <v>0</v>
      </c>
      <c r="M120" s="90">
        <f t="shared" si="22"/>
        <v>0</v>
      </c>
      <c r="N120" s="184">
        <f t="shared" si="22"/>
        <v>0</v>
      </c>
      <c r="O120" s="90">
        <f t="shared" si="22"/>
        <v>0</v>
      </c>
      <c r="P120" s="90">
        <f t="shared" si="22"/>
        <v>0</v>
      </c>
      <c r="Q120" s="90">
        <f t="shared" si="22"/>
        <v>0</v>
      </c>
      <c r="R120" s="90">
        <f t="shared" si="22"/>
        <v>0</v>
      </c>
      <c r="S120" s="90">
        <f t="shared" si="22"/>
        <v>0</v>
      </c>
      <c r="T120" s="90">
        <f t="shared" si="22"/>
        <v>0</v>
      </c>
      <c r="U120" s="90">
        <f t="shared" si="22"/>
        <v>0</v>
      </c>
      <c r="V120" s="90">
        <f t="shared" si="22"/>
        <v>0</v>
      </c>
      <c r="W120" s="90">
        <f t="shared" si="22"/>
        <v>0</v>
      </c>
      <c r="X120" s="90">
        <f t="shared" si="22"/>
        <v>0</v>
      </c>
      <c r="Y120" s="90">
        <f t="shared" si="22"/>
        <v>0</v>
      </c>
      <c r="Z120" s="90">
        <f t="shared" si="22"/>
        <v>0</v>
      </c>
      <c r="AA120" s="184">
        <f t="shared" si="22"/>
        <v>0</v>
      </c>
      <c r="AB120" s="90">
        <f>AB76+AB87+AB98</f>
        <v>3000</v>
      </c>
      <c r="AC120" s="90">
        <f>AC76+AC87+AC98</f>
        <v>11000</v>
      </c>
      <c r="AD120" s="91">
        <f>AD76+AD87+AD98</f>
        <v>26000</v>
      </c>
    </row>
    <row r="121" spans="1:30" ht="12.75">
      <c r="A121" s="56"/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184"/>
      <c r="O121" s="90"/>
      <c r="P121" s="90"/>
      <c r="Q121" s="90"/>
      <c r="R121" s="90"/>
      <c r="S121" s="90"/>
      <c r="T121" s="90"/>
      <c r="U121" s="90"/>
      <c r="V121" s="90"/>
      <c r="W121" s="90"/>
      <c r="X121" s="90"/>
      <c r="Y121" s="90"/>
      <c r="Z121" s="90"/>
      <c r="AA121" s="188"/>
      <c r="AB121" s="84"/>
      <c r="AC121" s="84"/>
      <c r="AD121" s="85"/>
    </row>
    <row r="122" spans="1:30" ht="12.75">
      <c r="A122" s="56"/>
      <c r="B122" s="82" t="s">
        <v>239</v>
      </c>
      <c r="C122" s="82"/>
      <c r="D122" s="90">
        <f>D113+D118</f>
        <v>1</v>
      </c>
      <c r="E122" s="90">
        <f aca="true" t="shared" si="23" ref="E122:AD122">E113+E118</f>
        <v>1</v>
      </c>
      <c r="F122" s="90">
        <f t="shared" si="23"/>
        <v>1</v>
      </c>
      <c r="G122" s="90">
        <f t="shared" si="23"/>
        <v>1</v>
      </c>
      <c r="H122" s="90">
        <f t="shared" si="23"/>
        <v>1</v>
      </c>
      <c r="I122" s="90">
        <f t="shared" si="23"/>
        <v>1</v>
      </c>
      <c r="J122" s="90">
        <f t="shared" si="23"/>
        <v>1</v>
      </c>
      <c r="K122" s="90">
        <f t="shared" si="23"/>
        <v>1</v>
      </c>
      <c r="L122" s="90">
        <f t="shared" si="23"/>
        <v>1</v>
      </c>
      <c r="M122" s="90">
        <f t="shared" si="23"/>
        <v>1</v>
      </c>
      <c r="N122" s="184">
        <f t="shared" si="23"/>
        <v>1</v>
      </c>
      <c r="O122" s="90">
        <f t="shared" si="23"/>
        <v>1</v>
      </c>
      <c r="P122" s="90">
        <f t="shared" si="23"/>
        <v>1</v>
      </c>
      <c r="Q122" s="90">
        <f t="shared" si="23"/>
        <v>1</v>
      </c>
      <c r="R122" s="90">
        <f t="shared" si="23"/>
        <v>1</v>
      </c>
      <c r="S122" s="90">
        <f t="shared" si="23"/>
        <v>1</v>
      </c>
      <c r="T122" s="90">
        <f t="shared" si="23"/>
        <v>1</v>
      </c>
      <c r="U122" s="90">
        <f t="shared" si="23"/>
        <v>1</v>
      </c>
      <c r="V122" s="90">
        <f t="shared" si="23"/>
        <v>1</v>
      </c>
      <c r="W122" s="90">
        <f t="shared" si="23"/>
        <v>1</v>
      </c>
      <c r="X122" s="90">
        <f t="shared" si="23"/>
        <v>1</v>
      </c>
      <c r="Y122" s="90">
        <f t="shared" si="23"/>
        <v>1</v>
      </c>
      <c r="Z122" s="90">
        <f t="shared" si="23"/>
        <v>1</v>
      </c>
      <c r="AA122" s="184">
        <f t="shared" si="23"/>
        <v>1</v>
      </c>
      <c r="AB122" s="90">
        <f t="shared" si="23"/>
        <v>3</v>
      </c>
      <c r="AC122" s="90">
        <f t="shared" si="23"/>
        <v>5</v>
      </c>
      <c r="AD122" s="91">
        <f t="shared" si="23"/>
        <v>7</v>
      </c>
    </row>
    <row r="123" spans="1:30" ht="12.75">
      <c r="A123" s="56"/>
      <c r="B123" s="82" t="s">
        <v>240</v>
      </c>
      <c r="C123" s="82"/>
      <c r="D123" s="90">
        <f>D114+D119</f>
        <v>0</v>
      </c>
      <c r="E123" s="90">
        <f aca="true" t="shared" si="24" ref="E123:AD123">E114+E119</f>
        <v>0</v>
      </c>
      <c r="F123" s="90">
        <f t="shared" si="24"/>
        <v>0</v>
      </c>
      <c r="G123" s="90">
        <f t="shared" si="24"/>
        <v>0</v>
      </c>
      <c r="H123" s="90">
        <f t="shared" si="24"/>
        <v>0</v>
      </c>
      <c r="I123" s="90">
        <f t="shared" si="24"/>
        <v>0</v>
      </c>
      <c r="J123" s="90">
        <f t="shared" si="24"/>
        <v>0</v>
      </c>
      <c r="K123" s="90">
        <f t="shared" si="24"/>
        <v>250</v>
      </c>
      <c r="L123" s="90">
        <f t="shared" si="24"/>
        <v>250</v>
      </c>
      <c r="M123" s="90">
        <f t="shared" si="24"/>
        <v>250</v>
      </c>
      <c r="N123" s="184">
        <f t="shared" si="24"/>
        <v>750</v>
      </c>
      <c r="O123" s="90">
        <f t="shared" si="24"/>
        <v>500</v>
      </c>
      <c r="P123" s="90">
        <f t="shared" si="24"/>
        <v>500</v>
      </c>
      <c r="Q123" s="90">
        <f t="shared" si="24"/>
        <v>500</v>
      </c>
      <c r="R123" s="90">
        <f t="shared" si="24"/>
        <v>500</v>
      </c>
      <c r="S123" s="90">
        <f t="shared" si="24"/>
        <v>500</v>
      </c>
      <c r="T123" s="90">
        <f t="shared" si="24"/>
        <v>500</v>
      </c>
      <c r="U123" s="90">
        <f t="shared" si="24"/>
        <v>500</v>
      </c>
      <c r="V123" s="90">
        <f t="shared" si="24"/>
        <v>500</v>
      </c>
      <c r="W123" s="90">
        <f t="shared" si="24"/>
        <v>500</v>
      </c>
      <c r="X123" s="90">
        <f t="shared" si="24"/>
        <v>500</v>
      </c>
      <c r="Y123" s="90">
        <f t="shared" si="24"/>
        <v>500</v>
      </c>
      <c r="Z123" s="90">
        <f t="shared" si="24"/>
        <v>500</v>
      </c>
      <c r="AA123" s="184">
        <f t="shared" si="24"/>
        <v>6000</v>
      </c>
      <c r="AB123" s="90">
        <f t="shared" si="24"/>
        <v>12750</v>
      </c>
      <c r="AC123" s="90">
        <f t="shared" si="24"/>
        <v>25400</v>
      </c>
      <c r="AD123" s="91">
        <f t="shared" si="24"/>
        <v>39750</v>
      </c>
    </row>
    <row r="124" spans="1:30" ht="12.75">
      <c r="A124" s="58"/>
      <c r="B124" s="86" t="s">
        <v>241</v>
      </c>
      <c r="C124" s="87"/>
      <c r="D124" s="88">
        <f>D115+D120</f>
        <v>0</v>
      </c>
      <c r="E124" s="88">
        <f aca="true" t="shared" si="25" ref="E124:AD124">E115+E120</f>
        <v>0</v>
      </c>
      <c r="F124" s="88">
        <f t="shared" si="25"/>
        <v>0</v>
      </c>
      <c r="G124" s="88">
        <f t="shared" si="25"/>
        <v>0</v>
      </c>
      <c r="H124" s="88">
        <f t="shared" si="25"/>
        <v>0</v>
      </c>
      <c r="I124" s="88">
        <f t="shared" si="25"/>
        <v>0</v>
      </c>
      <c r="J124" s="88">
        <f t="shared" si="25"/>
        <v>0</v>
      </c>
      <c r="K124" s="88">
        <f t="shared" si="25"/>
        <v>250</v>
      </c>
      <c r="L124" s="88">
        <f t="shared" si="25"/>
        <v>500</v>
      </c>
      <c r="M124" s="88">
        <f t="shared" si="25"/>
        <v>750</v>
      </c>
      <c r="N124" s="185">
        <f t="shared" si="25"/>
        <v>750</v>
      </c>
      <c r="O124" s="88">
        <f t="shared" si="25"/>
        <v>1250</v>
      </c>
      <c r="P124" s="88">
        <f t="shared" si="25"/>
        <v>1750</v>
      </c>
      <c r="Q124" s="88">
        <f t="shared" si="25"/>
        <v>2250</v>
      </c>
      <c r="R124" s="88">
        <f t="shared" si="25"/>
        <v>2750</v>
      </c>
      <c r="S124" s="88">
        <f t="shared" si="25"/>
        <v>3250</v>
      </c>
      <c r="T124" s="88">
        <f t="shared" si="25"/>
        <v>3750</v>
      </c>
      <c r="U124" s="88">
        <f t="shared" si="25"/>
        <v>4250</v>
      </c>
      <c r="V124" s="88">
        <f t="shared" si="25"/>
        <v>4750</v>
      </c>
      <c r="W124" s="88">
        <f t="shared" si="25"/>
        <v>5250</v>
      </c>
      <c r="X124" s="88">
        <f t="shared" si="25"/>
        <v>5750</v>
      </c>
      <c r="Y124" s="88">
        <f t="shared" si="25"/>
        <v>6250</v>
      </c>
      <c r="Z124" s="88">
        <f t="shared" si="25"/>
        <v>6750</v>
      </c>
      <c r="AA124" s="185">
        <f t="shared" si="25"/>
        <v>6750</v>
      </c>
      <c r="AB124" s="88">
        <f t="shared" si="25"/>
        <v>19500</v>
      </c>
      <c r="AC124" s="88">
        <f t="shared" si="25"/>
        <v>49100</v>
      </c>
      <c r="AD124" s="89">
        <f t="shared" si="25"/>
        <v>80450</v>
      </c>
    </row>
  </sheetData>
  <sheetProtection/>
  <printOptions/>
  <pageMargins left="0.75" right="0.75" top="1" bottom="1" header="0.5" footer="0.5"/>
  <pageSetup fitToHeight="2" fitToWidth="1" horizontalDpi="600" verticalDpi="600" orientation="portrait" scale="44" r:id="rId1"/>
  <ignoredErrors>
    <ignoredError sqref="N17 N20:N2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99"/>
  <sheetViews>
    <sheetView zoomScalePageLayoutView="0" workbookViewId="0" topLeftCell="A1">
      <selection activeCell="H1" sqref="H1"/>
    </sheetView>
  </sheetViews>
  <sheetFormatPr defaultColWidth="9.140625" defaultRowHeight="12.75"/>
  <cols>
    <col min="1" max="1" width="1.421875" style="18" customWidth="1"/>
    <col min="2" max="2" width="9.421875" style="29" customWidth="1"/>
    <col min="3" max="3" width="29.421875" style="29" customWidth="1"/>
    <col min="4" max="13" width="7.140625" style="29" customWidth="1"/>
    <col min="14" max="14" width="12.28125" style="29" customWidth="1"/>
    <col min="15" max="26" width="8.00390625" style="29" customWidth="1"/>
    <col min="27" max="30" width="10.140625" style="29" customWidth="1"/>
    <col min="31" max="16384" width="9.140625" style="29" customWidth="1"/>
  </cols>
  <sheetData>
    <row r="1" ht="15.75">
      <c r="A1" s="28" t="s">
        <v>278</v>
      </c>
    </row>
    <row r="2" spans="1:32" ht="12.75">
      <c r="A2" s="207"/>
      <c r="B2" s="59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1"/>
      <c r="AB2" s="61"/>
      <c r="AC2" s="61"/>
      <c r="AD2" s="61"/>
      <c r="AE2" s="57"/>
      <c r="AF2" s="47"/>
    </row>
    <row r="3" spans="1:32" ht="12.75">
      <c r="A3" s="22" t="s">
        <v>0</v>
      </c>
      <c r="D3" s="151" t="s">
        <v>189</v>
      </c>
      <c r="E3" s="150" t="s">
        <v>190</v>
      </c>
      <c r="F3" s="150" t="s">
        <v>191</v>
      </c>
      <c r="G3" s="150" t="s">
        <v>192</v>
      </c>
      <c r="H3" s="150" t="s">
        <v>210</v>
      </c>
      <c r="I3" s="150" t="s">
        <v>194</v>
      </c>
      <c r="J3" s="150" t="s">
        <v>195</v>
      </c>
      <c r="K3" s="150" t="s">
        <v>196</v>
      </c>
      <c r="L3" s="150" t="s">
        <v>197</v>
      </c>
      <c r="M3" s="150" t="s">
        <v>198</v>
      </c>
      <c r="N3" s="117" t="s">
        <v>164</v>
      </c>
      <c r="O3" s="149" t="s">
        <v>223</v>
      </c>
      <c r="P3" s="149" t="s">
        <v>224</v>
      </c>
      <c r="Q3" s="150" t="s">
        <v>189</v>
      </c>
      <c r="R3" s="150" t="s">
        <v>190</v>
      </c>
      <c r="S3" s="150" t="s">
        <v>191</v>
      </c>
      <c r="T3" s="150" t="s">
        <v>192</v>
      </c>
      <c r="U3" s="150" t="s">
        <v>210</v>
      </c>
      <c r="V3" s="150" t="s">
        <v>194</v>
      </c>
      <c r="W3" s="150" t="s">
        <v>195</v>
      </c>
      <c r="X3" s="150" t="s">
        <v>196</v>
      </c>
      <c r="Y3" s="150" t="s">
        <v>197</v>
      </c>
      <c r="Z3" s="150" t="s">
        <v>198</v>
      </c>
      <c r="AA3" s="134" t="s">
        <v>165</v>
      </c>
      <c r="AB3" s="50" t="s">
        <v>166</v>
      </c>
      <c r="AC3" s="51" t="s">
        <v>167</v>
      </c>
      <c r="AD3" s="83" t="s">
        <v>168</v>
      </c>
      <c r="AE3" s="47"/>
      <c r="AF3" s="47"/>
    </row>
    <row r="4" spans="1:32" ht="12.75">
      <c r="A4" s="22"/>
      <c r="N4" s="141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198"/>
      <c r="AB4" s="47"/>
      <c r="AC4" s="64"/>
      <c r="AD4" s="125"/>
      <c r="AE4" s="47"/>
      <c r="AF4" s="47"/>
    </row>
    <row r="5" spans="2:32" ht="12.75">
      <c r="B5" s="48" t="s">
        <v>160</v>
      </c>
      <c r="N5" s="141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199"/>
      <c r="AB5" s="62"/>
      <c r="AC5" s="122"/>
      <c r="AD5" s="200"/>
      <c r="AE5" s="47"/>
      <c r="AF5" s="47"/>
    </row>
    <row r="6" spans="2:32" ht="12.75">
      <c r="B6" s="31"/>
      <c r="C6" s="29" t="s">
        <v>187</v>
      </c>
      <c r="D6" s="229">
        <f>'RevenueFig9.2'!D69</f>
        <v>0</v>
      </c>
      <c r="E6" s="229">
        <f>'RevenueFig9.2'!E69</f>
        <v>0</v>
      </c>
      <c r="F6" s="229">
        <f>'RevenueFig9.2'!F69</f>
        <v>0</v>
      </c>
      <c r="G6" s="229">
        <f>'RevenueFig9.2'!G69</f>
        <v>0</v>
      </c>
      <c r="H6" s="229">
        <f>'RevenueFig9.2'!H69</f>
        <v>0</v>
      </c>
      <c r="I6" s="229">
        <f>'RevenueFig9.2'!I69</f>
        <v>0</v>
      </c>
      <c r="J6" s="229">
        <f>'RevenueFig9.2'!J69</f>
        <v>0</v>
      </c>
      <c r="K6" s="229">
        <f>'RevenueFig9.2'!K69</f>
        <v>126000</v>
      </c>
      <c r="L6" s="229">
        <f>'RevenueFig9.2'!L69</f>
        <v>159750</v>
      </c>
      <c r="M6" s="229">
        <f>'RevenueFig9.2'!M69</f>
        <v>193500</v>
      </c>
      <c r="N6" s="230">
        <f>'RevenueFig9.2'!N69</f>
        <v>479250</v>
      </c>
      <c r="O6" s="229">
        <f>'RevenueFig9.2'!O69</f>
        <v>353250</v>
      </c>
      <c r="P6" s="229">
        <f>'RevenueFig9.2'!P69</f>
        <v>420750</v>
      </c>
      <c r="Q6" s="229">
        <f>'RevenueFig9.2'!Q69</f>
        <v>488250</v>
      </c>
      <c r="R6" s="229">
        <f>'RevenueFig9.2'!R69</f>
        <v>555750</v>
      </c>
      <c r="S6" s="229">
        <f>'RevenueFig9.2'!S69</f>
        <v>623250</v>
      </c>
      <c r="T6" s="229">
        <f>'RevenueFig9.2'!T69</f>
        <v>690750</v>
      </c>
      <c r="U6" s="229">
        <f>'RevenueFig9.2'!U69</f>
        <v>758250</v>
      </c>
      <c r="V6" s="229">
        <f>'RevenueFig9.2'!V69</f>
        <v>825750</v>
      </c>
      <c r="W6" s="229">
        <f>'RevenueFig9.2'!W69</f>
        <v>893250</v>
      </c>
      <c r="X6" s="229">
        <f>'RevenueFig9.2'!X69</f>
        <v>960750</v>
      </c>
      <c r="Y6" s="229">
        <f>'RevenueFig9.2'!Y69</f>
        <v>1028250</v>
      </c>
      <c r="Z6" s="229">
        <f>'RevenueFig9.2'!Z69</f>
        <v>1095750</v>
      </c>
      <c r="AA6" s="231">
        <f>SUM(O6:Z6)</f>
        <v>8694000</v>
      </c>
      <c r="AB6" s="232">
        <f>'RevenueFig9.2'!AB69</f>
        <v>28950750</v>
      </c>
      <c r="AC6" s="232">
        <f>'RevenueFig9.2'!AC69</f>
        <v>66684600</v>
      </c>
      <c r="AD6" s="233">
        <f>'RevenueFig9.2'!AD69</f>
        <v>91022400</v>
      </c>
      <c r="AE6" s="47"/>
      <c r="AF6" s="47"/>
    </row>
    <row r="7" spans="2:32" ht="13.5" thickBot="1">
      <c r="B7" s="31"/>
      <c r="C7" s="29" t="s">
        <v>188</v>
      </c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5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6"/>
      <c r="AB7" s="237">
        <f>'RevenueFig9.2'!AB107</f>
        <v>5607000</v>
      </c>
      <c r="AC7" s="237">
        <f>'RevenueFig9.2'!AC107</f>
        <v>19812000</v>
      </c>
      <c r="AD7" s="238">
        <f>'RevenueFig9.2'!AD107</f>
        <v>45855000</v>
      </c>
      <c r="AE7" s="47"/>
      <c r="AF7" s="47"/>
    </row>
    <row r="8" spans="3:32" ht="12.75">
      <c r="C8" s="63" t="s">
        <v>136</v>
      </c>
      <c r="D8" s="239">
        <f>SUM(D6:D7)</f>
        <v>0</v>
      </c>
      <c r="E8" s="239">
        <f aca="true" t="shared" si="0" ref="E8:M8">SUM(E6:E7)</f>
        <v>0</v>
      </c>
      <c r="F8" s="239">
        <f t="shared" si="0"/>
        <v>0</v>
      </c>
      <c r="G8" s="239">
        <f t="shared" si="0"/>
        <v>0</v>
      </c>
      <c r="H8" s="239">
        <f t="shared" si="0"/>
        <v>0</v>
      </c>
      <c r="I8" s="239">
        <f t="shared" si="0"/>
        <v>0</v>
      </c>
      <c r="J8" s="239">
        <f t="shared" si="0"/>
        <v>0</v>
      </c>
      <c r="K8" s="239">
        <f t="shared" si="0"/>
        <v>126000</v>
      </c>
      <c r="L8" s="239">
        <f t="shared" si="0"/>
        <v>159750</v>
      </c>
      <c r="M8" s="239">
        <f t="shared" si="0"/>
        <v>193500</v>
      </c>
      <c r="N8" s="240">
        <f>SUM(N6:N7)</f>
        <v>479250</v>
      </c>
      <c r="O8" s="239">
        <f aca="true" t="shared" si="1" ref="O8:Z8">SUM(O6:O7)</f>
        <v>353250</v>
      </c>
      <c r="P8" s="239">
        <f t="shared" si="1"/>
        <v>420750</v>
      </c>
      <c r="Q8" s="239">
        <f t="shared" si="1"/>
        <v>488250</v>
      </c>
      <c r="R8" s="239">
        <f t="shared" si="1"/>
        <v>555750</v>
      </c>
      <c r="S8" s="239">
        <f t="shared" si="1"/>
        <v>623250</v>
      </c>
      <c r="T8" s="239">
        <f t="shared" si="1"/>
        <v>690750</v>
      </c>
      <c r="U8" s="239">
        <f t="shared" si="1"/>
        <v>758250</v>
      </c>
      <c r="V8" s="239">
        <f t="shared" si="1"/>
        <v>825750</v>
      </c>
      <c r="W8" s="239">
        <f t="shared" si="1"/>
        <v>893250</v>
      </c>
      <c r="X8" s="239">
        <f t="shared" si="1"/>
        <v>960750</v>
      </c>
      <c r="Y8" s="239">
        <f t="shared" si="1"/>
        <v>1028250</v>
      </c>
      <c r="Z8" s="239">
        <f t="shared" si="1"/>
        <v>1095750</v>
      </c>
      <c r="AA8" s="241">
        <f>SUM(AA6:AA7)</f>
        <v>8694000</v>
      </c>
      <c r="AB8" s="242">
        <f>SUM(AB6:AB7)</f>
        <v>34557750</v>
      </c>
      <c r="AC8" s="243">
        <f>SUM(AC6:AC7)</f>
        <v>86496600</v>
      </c>
      <c r="AD8" s="244">
        <f>SUM(AD6:AD7)</f>
        <v>136877400</v>
      </c>
      <c r="AE8" s="47"/>
      <c r="AF8" s="47"/>
    </row>
    <row r="9" spans="3:32" ht="12.75">
      <c r="C9" s="63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0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242"/>
      <c r="AA9" s="241"/>
      <c r="AB9" s="242"/>
      <c r="AC9" s="243"/>
      <c r="AD9" s="244"/>
      <c r="AE9" s="47"/>
      <c r="AF9" s="47"/>
    </row>
    <row r="10" spans="3:32" ht="13.5" thickBot="1">
      <c r="C10" s="63" t="s">
        <v>231</v>
      </c>
      <c r="D10" s="246">
        <f>0.05*D8</f>
        <v>0</v>
      </c>
      <c r="E10" s="246">
        <f aca="true" t="shared" si="2" ref="E10:Z10">0.05*E8</f>
        <v>0</v>
      </c>
      <c r="F10" s="246">
        <f t="shared" si="2"/>
        <v>0</v>
      </c>
      <c r="G10" s="246">
        <f t="shared" si="2"/>
        <v>0</v>
      </c>
      <c r="H10" s="246">
        <f t="shared" si="2"/>
        <v>0</v>
      </c>
      <c r="I10" s="246">
        <f t="shared" si="2"/>
        <v>0</v>
      </c>
      <c r="J10" s="246">
        <f t="shared" si="2"/>
        <v>0</v>
      </c>
      <c r="K10" s="246">
        <f t="shared" si="2"/>
        <v>6300</v>
      </c>
      <c r="L10" s="246">
        <f t="shared" si="2"/>
        <v>7987.5</v>
      </c>
      <c r="M10" s="246">
        <f t="shared" si="2"/>
        <v>9675</v>
      </c>
      <c r="N10" s="247">
        <f t="shared" si="2"/>
        <v>23962.5</v>
      </c>
      <c r="O10" s="246">
        <f t="shared" si="2"/>
        <v>17662.5</v>
      </c>
      <c r="P10" s="246">
        <f t="shared" si="2"/>
        <v>21037.5</v>
      </c>
      <c r="Q10" s="246">
        <f t="shared" si="2"/>
        <v>24412.5</v>
      </c>
      <c r="R10" s="246">
        <f t="shared" si="2"/>
        <v>27787.5</v>
      </c>
      <c r="S10" s="246">
        <f t="shared" si="2"/>
        <v>31162.5</v>
      </c>
      <c r="T10" s="246">
        <f t="shared" si="2"/>
        <v>34537.5</v>
      </c>
      <c r="U10" s="246">
        <f t="shared" si="2"/>
        <v>37912.5</v>
      </c>
      <c r="V10" s="246">
        <f t="shared" si="2"/>
        <v>41287.5</v>
      </c>
      <c r="W10" s="246">
        <f t="shared" si="2"/>
        <v>44662.5</v>
      </c>
      <c r="X10" s="246">
        <f t="shared" si="2"/>
        <v>48037.5</v>
      </c>
      <c r="Y10" s="246">
        <f t="shared" si="2"/>
        <v>51412.5</v>
      </c>
      <c r="Z10" s="246">
        <f t="shared" si="2"/>
        <v>54787.5</v>
      </c>
      <c r="AA10" s="248">
        <f>SUM(O10:Z10)</f>
        <v>434700</v>
      </c>
      <c r="AB10" s="249">
        <f>AB8*0.05</f>
        <v>1727887.5</v>
      </c>
      <c r="AC10" s="249">
        <f>AC8*0.05</f>
        <v>4324830</v>
      </c>
      <c r="AD10" s="250">
        <f>AD8*0.05</f>
        <v>6843870</v>
      </c>
      <c r="AE10" s="47"/>
      <c r="AF10" s="47"/>
    </row>
    <row r="11" spans="3:32" ht="12.75">
      <c r="C11" s="63" t="s">
        <v>232</v>
      </c>
      <c r="D11" s="239">
        <f>D8-D10</f>
        <v>0</v>
      </c>
      <c r="E11" s="239">
        <f aca="true" t="shared" si="3" ref="E11:Z11">E8-E10</f>
        <v>0</v>
      </c>
      <c r="F11" s="239">
        <f t="shared" si="3"/>
        <v>0</v>
      </c>
      <c r="G11" s="239">
        <f t="shared" si="3"/>
        <v>0</v>
      </c>
      <c r="H11" s="239">
        <f t="shared" si="3"/>
        <v>0</v>
      </c>
      <c r="I11" s="239">
        <f t="shared" si="3"/>
        <v>0</v>
      </c>
      <c r="J11" s="239">
        <f t="shared" si="3"/>
        <v>0</v>
      </c>
      <c r="K11" s="239">
        <f t="shared" si="3"/>
        <v>119700</v>
      </c>
      <c r="L11" s="239">
        <f t="shared" si="3"/>
        <v>151762.5</v>
      </c>
      <c r="M11" s="239">
        <f t="shared" si="3"/>
        <v>183825</v>
      </c>
      <c r="N11" s="251">
        <f t="shared" si="3"/>
        <v>455287.5</v>
      </c>
      <c r="O11" s="239">
        <f t="shared" si="3"/>
        <v>335587.5</v>
      </c>
      <c r="P11" s="239">
        <f t="shared" si="3"/>
        <v>399712.5</v>
      </c>
      <c r="Q11" s="239">
        <f t="shared" si="3"/>
        <v>463837.5</v>
      </c>
      <c r="R11" s="239">
        <f t="shared" si="3"/>
        <v>527962.5</v>
      </c>
      <c r="S11" s="239">
        <f t="shared" si="3"/>
        <v>592087.5</v>
      </c>
      <c r="T11" s="239">
        <f t="shared" si="3"/>
        <v>656212.5</v>
      </c>
      <c r="U11" s="239">
        <f t="shared" si="3"/>
        <v>720337.5</v>
      </c>
      <c r="V11" s="239">
        <f t="shared" si="3"/>
        <v>784462.5</v>
      </c>
      <c r="W11" s="239">
        <f t="shared" si="3"/>
        <v>848587.5</v>
      </c>
      <c r="X11" s="239">
        <f t="shared" si="3"/>
        <v>912712.5</v>
      </c>
      <c r="Y11" s="239">
        <f t="shared" si="3"/>
        <v>976837.5</v>
      </c>
      <c r="Z11" s="239">
        <f t="shared" si="3"/>
        <v>1040962.5</v>
      </c>
      <c r="AA11" s="241">
        <f>AA8-AA10</f>
        <v>8259300</v>
      </c>
      <c r="AB11" s="242">
        <f>AB8-AB10</f>
        <v>32829862.5</v>
      </c>
      <c r="AC11" s="243">
        <f>AC8-AC10</f>
        <v>82171770</v>
      </c>
      <c r="AD11" s="244">
        <f>AD8-AD10</f>
        <v>130033530</v>
      </c>
      <c r="AE11" s="47"/>
      <c r="AF11" s="47"/>
    </row>
    <row r="12" spans="3:32" ht="12.75">
      <c r="C12" s="63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0"/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242"/>
      <c r="AA12" s="241"/>
      <c r="AB12" s="242"/>
      <c r="AC12" s="243"/>
      <c r="AD12" s="244"/>
      <c r="AE12" s="47"/>
      <c r="AF12" s="47"/>
    </row>
    <row r="13" spans="2:32" ht="12.75">
      <c r="B13" s="48" t="s">
        <v>107</v>
      </c>
      <c r="C13" s="31"/>
      <c r="D13" s="252"/>
      <c r="E13" s="252"/>
      <c r="F13" s="252"/>
      <c r="G13" s="252"/>
      <c r="H13" s="252"/>
      <c r="I13" s="252"/>
      <c r="J13" s="252"/>
      <c r="K13" s="252"/>
      <c r="L13" s="252"/>
      <c r="M13" s="252"/>
      <c r="N13" s="253"/>
      <c r="O13" s="252"/>
      <c r="P13" s="252"/>
      <c r="Q13" s="252"/>
      <c r="R13" s="252"/>
      <c r="S13" s="252"/>
      <c r="T13" s="252"/>
      <c r="U13" s="252"/>
      <c r="V13" s="252"/>
      <c r="W13" s="252"/>
      <c r="X13" s="252"/>
      <c r="Y13" s="252"/>
      <c r="Z13" s="252"/>
      <c r="AA13" s="254"/>
      <c r="AB13" s="232"/>
      <c r="AC13" s="232"/>
      <c r="AD13" s="233"/>
      <c r="AE13" s="47"/>
      <c r="AF13" s="47"/>
    </row>
    <row r="14" spans="2:32" ht="12.75">
      <c r="B14" s="29">
        <v>75</v>
      </c>
      <c r="C14" s="29" t="s">
        <v>249</v>
      </c>
      <c r="D14" s="232">
        <f>'RevenueFig9.2'!D123*'P&amp;LFig9.4'!$B14</f>
        <v>0</v>
      </c>
      <c r="E14" s="232">
        <f>'RevenueFig9.2'!E123*'P&amp;LFig9.4'!$B14</f>
        <v>0</v>
      </c>
      <c r="F14" s="232">
        <f>'RevenueFig9.2'!F123*'P&amp;LFig9.4'!$B14</f>
        <v>0</v>
      </c>
      <c r="G14" s="232">
        <f>'RevenueFig9.2'!G123*'P&amp;LFig9.4'!$B14</f>
        <v>0</v>
      </c>
      <c r="H14" s="232">
        <f>'RevenueFig9.2'!H123*'P&amp;LFig9.4'!$B14</f>
        <v>0</v>
      </c>
      <c r="I14" s="232">
        <f>'RevenueFig9.2'!I123*'P&amp;LFig9.4'!$B14</f>
        <v>0</v>
      </c>
      <c r="J14" s="232">
        <f>'RevenueFig9.2'!J123*'P&amp;LFig9.4'!$B14</f>
        <v>0</v>
      </c>
      <c r="K14" s="232">
        <f>'RevenueFig9.2'!K123*'P&amp;LFig9.4'!$B14</f>
        <v>18750</v>
      </c>
      <c r="L14" s="232">
        <f>'RevenueFig9.2'!L123*'P&amp;LFig9.4'!$B14</f>
        <v>18750</v>
      </c>
      <c r="M14" s="232">
        <f>'RevenueFig9.2'!M123*'P&amp;LFig9.4'!$B14</f>
        <v>18750</v>
      </c>
      <c r="N14" s="230">
        <f>'RevenueFig9.2'!N123*'P&amp;LFig9.4'!$B14</f>
        <v>56250</v>
      </c>
      <c r="O14" s="232">
        <f>'RevenueFig9.2'!O123*'P&amp;LFig9.4'!$B14</f>
        <v>37500</v>
      </c>
      <c r="P14" s="232">
        <f>'RevenueFig9.2'!P123*'P&amp;LFig9.4'!$B14</f>
        <v>37500</v>
      </c>
      <c r="Q14" s="232">
        <f>'RevenueFig9.2'!Q123*'P&amp;LFig9.4'!$B14</f>
        <v>37500</v>
      </c>
      <c r="R14" s="232">
        <f>'RevenueFig9.2'!R123*'P&amp;LFig9.4'!$B14</f>
        <v>37500</v>
      </c>
      <c r="S14" s="232">
        <f>'RevenueFig9.2'!S123*'P&amp;LFig9.4'!$B14</f>
        <v>37500</v>
      </c>
      <c r="T14" s="232">
        <f>'RevenueFig9.2'!T123*'P&amp;LFig9.4'!$B14</f>
        <v>37500</v>
      </c>
      <c r="U14" s="232">
        <f>'RevenueFig9.2'!U123*'P&amp;LFig9.4'!$B14</f>
        <v>37500</v>
      </c>
      <c r="V14" s="232">
        <f>'RevenueFig9.2'!V123*'P&amp;LFig9.4'!$B14</f>
        <v>37500</v>
      </c>
      <c r="W14" s="232">
        <f>'RevenueFig9.2'!W123*'P&amp;LFig9.4'!$B14</f>
        <v>37500</v>
      </c>
      <c r="X14" s="232">
        <f>'RevenueFig9.2'!X123*'P&amp;LFig9.4'!$B14</f>
        <v>37500</v>
      </c>
      <c r="Y14" s="232">
        <f>'RevenueFig9.2'!Y123*'P&amp;LFig9.4'!$B14</f>
        <v>37500</v>
      </c>
      <c r="Z14" s="232">
        <f>'RevenueFig9.2'!Z123*'P&amp;LFig9.4'!$B14</f>
        <v>37500</v>
      </c>
      <c r="AA14" s="254">
        <f>SUM(O14:Z14)</f>
        <v>450000</v>
      </c>
      <c r="AB14" s="232">
        <f>AB53*75</f>
        <v>0</v>
      </c>
      <c r="AC14" s="232">
        <f>AC53*75</f>
        <v>0</v>
      </c>
      <c r="AD14" s="233">
        <f>AD53*75</f>
        <v>0</v>
      </c>
      <c r="AE14" s="47"/>
      <c r="AF14" s="47"/>
    </row>
    <row r="15" spans="2:32" ht="12.75">
      <c r="B15" s="29">
        <v>600</v>
      </c>
      <c r="C15" s="29" t="s">
        <v>250</v>
      </c>
      <c r="D15" s="232">
        <f>'RevenueFig9.2'!D123*$B15</f>
        <v>0</v>
      </c>
      <c r="E15" s="232">
        <f>'RevenueFig9.2'!E123*$B15</f>
        <v>0</v>
      </c>
      <c r="F15" s="232">
        <f>'RevenueFig9.2'!F123*$B15</f>
        <v>0</v>
      </c>
      <c r="G15" s="232">
        <f>'RevenueFig9.2'!G123*$B15</f>
        <v>0</v>
      </c>
      <c r="H15" s="232">
        <f>'RevenueFig9.2'!H123*$B15</f>
        <v>0</v>
      </c>
      <c r="I15" s="232">
        <f>'RevenueFig9.2'!I123*$B15</f>
        <v>0</v>
      </c>
      <c r="J15" s="232">
        <f>'RevenueFig9.2'!J123*$B15</f>
        <v>0</v>
      </c>
      <c r="K15" s="232">
        <f>'RevenueFig9.2'!K123*$B15</f>
        <v>150000</v>
      </c>
      <c r="L15" s="232">
        <f>'RevenueFig9.2'!L123*$B15</f>
        <v>150000</v>
      </c>
      <c r="M15" s="232">
        <f>'RevenueFig9.2'!M123*$B15</f>
        <v>150000</v>
      </c>
      <c r="N15" s="230">
        <f>'RevenueFig9.2'!N123*$B15</f>
        <v>450000</v>
      </c>
      <c r="O15" s="232">
        <f>'RevenueFig9.2'!O123*$B15</f>
        <v>300000</v>
      </c>
      <c r="P15" s="232">
        <f>'RevenueFig9.2'!P123*$B15</f>
        <v>300000</v>
      </c>
      <c r="Q15" s="232">
        <f>'RevenueFig9.2'!Q123*$B15</f>
        <v>300000</v>
      </c>
      <c r="R15" s="232">
        <f>'RevenueFig9.2'!R123*$B15</f>
        <v>300000</v>
      </c>
      <c r="S15" s="232">
        <f>'RevenueFig9.2'!S123*$B15</f>
        <v>300000</v>
      </c>
      <c r="T15" s="232">
        <f>'RevenueFig9.2'!T123*$B15</f>
        <v>300000</v>
      </c>
      <c r="U15" s="232">
        <f>'RevenueFig9.2'!U123*$B15</f>
        <v>300000</v>
      </c>
      <c r="V15" s="232">
        <f>'RevenueFig9.2'!V123*$B15</f>
        <v>300000</v>
      </c>
      <c r="W15" s="232">
        <f>'RevenueFig9.2'!W123*$B15</f>
        <v>300000</v>
      </c>
      <c r="X15" s="232">
        <f>'RevenueFig9.2'!X123*$B15</f>
        <v>300000</v>
      </c>
      <c r="Y15" s="232">
        <f>'RevenueFig9.2'!Y123*$B15</f>
        <v>300000</v>
      </c>
      <c r="Z15" s="232">
        <f>'RevenueFig9.2'!Z123*$B15</f>
        <v>300000</v>
      </c>
      <c r="AA15" s="254">
        <f>SUM(O15:Z15)</f>
        <v>3600000</v>
      </c>
      <c r="AB15" s="232">
        <f>'RevenueFig9.2'!AB123*$B15</f>
        <v>7650000</v>
      </c>
      <c r="AC15" s="232">
        <f>'RevenueFig9.2'!AC123*$B15</f>
        <v>15240000</v>
      </c>
      <c r="AD15" s="233">
        <f>'RevenueFig9.2'!AD123*$B15</f>
        <v>23850000</v>
      </c>
      <c r="AE15" s="47"/>
      <c r="AF15" s="47"/>
    </row>
    <row r="16" spans="2:32" ht="13.5" thickBot="1">
      <c r="B16" s="197">
        <v>0.05</v>
      </c>
      <c r="C16" s="29" t="s">
        <v>251</v>
      </c>
      <c r="D16" s="234">
        <f>D8*$B16</f>
        <v>0</v>
      </c>
      <c r="E16" s="234">
        <f aca="true" t="shared" si="4" ref="E16:AD16">E8*$B16</f>
        <v>0</v>
      </c>
      <c r="F16" s="234">
        <f t="shared" si="4"/>
        <v>0</v>
      </c>
      <c r="G16" s="234">
        <f t="shared" si="4"/>
        <v>0</v>
      </c>
      <c r="H16" s="234">
        <f t="shared" si="4"/>
        <v>0</v>
      </c>
      <c r="I16" s="234">
        <f t="shared" si="4"/>
        <v>0</v>
      </c>
      <c r="J16" s="234">
        <f t="shared" si="4"/>
        <v>0</v>
      </c>
      <c r="K16" s="234">
        <f t="shared" si="4"/>
        <v>6300</v>
      </c>
      <c r="L16" s="234">
        <f t="shared" si="4"/>
        <v>7987.5</v>
      </c>
      <c r="M16" s="234">
        <f t="shared" si="4"/>
        <v>9675</v>
      </c>
      <c r="N16" s="235">
        <f t="shared" si="4"/>
        <v>23962.5</v>
      </c>
      <c r="O16" s="234">
        <f t="shared" si="4"/>
        <v>17662.5</v>
      </c>
      <c r="P16" s="234">
        <f t="shared" si="4"/>
        <v>21037.5</v>
      </c>
      <c r="Q16" s="234">
        <f t="shared" si="4"/>
        <v>24412.5</v>
      </c>
      <c r="R16" s="234">
        <f t="shared" si="4"/>
        <v>27787.5</v>
      </c>
      <c r="S16" s="234">
        <f t="shared" si="4"/>
        <v>31162.5</v>
      </c>
      <c r="T16" s="234">
        <f t="shared" si="4"/>
        <v>34537.5</v>
      </c>
      <c r="U16" s="234">
        <f t="shared" si="4"/>
        <v>37912.5</v>
      </c>
      <c r="V16" s="234">
        <f t="shared" si="4"/>
        <v>41287.5</v>
      </c>
      <c r="W16" s="234">
        <f t="shared" si="4"/>
        <v>44662.5</v>
      </c>
      <c r="X16" s="234">
        <f t="shared" si="4"/>
        <v>48037.5</v>
      </c>
      <c r="Y16" s="234">
        <f t="shared" si="4"/>
        <v>51412.5</v>
      </c>
      <c r="Z16" s="234">
        <f t="shared" si="4"/>
        <v>54787.5</v>
      </c>
      <c r="AA16" s="236">
        <f>SUM(O16:Z16)</f>
        <v>434700</v>
      </c>
      <c r="AB16" s="234">
        <f t="shared" si="4"/>
        <v>1727887.5</v>
      </c>
      <c r="AC16" s="234">
        <f t="shared" si="4"/>
        <v>4324830</v>
      </c>
      <c r="AD16" s="255">
        <f t="shared" si="4"/>
        <v>6843870</v>
      </c>
      <c r="AE16" s="47"/>
      <c r="AF16" s="47"/>
    </row>
    <row r="17" spans="3:32" ht="12.75">
      <c r="C17" s="36" t="s">
        <v>110</v>
      </c>
      <c r="D17" s="243">
        <f aca="true" t="shared" si="5" ref="D17:M17">SUM(D14:D16)</f>
        <v>0</v>
      </c>
      <c r="E17" s="243">
        <f t="shared" si="5"/>
        <v>0</v>
      </c>
      <c r="F17" s="243">
        <f t="shared" si="5"/>
        <v>0</v>
      </c>
      <c r="G17" s="243">
        <f t="shared" si="5"/>
        <v>0</v>
      </c>
      <c r="H17" s="243">
        <f t="shared" si="5"/>
        <v>0</v>
      </c>
      <c r="I17" s="243">
        <f t="shared" si="5"/>
        <v>0</v>
      </c>
      <c r="J17" s="243">
        <f t="shared" si="5"/>
        <v>0</v>
      </c>
      <c r="K17" s="232">
        <f t="shared" si="5"/>
        <v>175050</v>
      </c>
      <c r="L17" s="232">
        <f t="shared" si="5"/>
        <v>176737.5</v>
      </c>
      <c r="M17" s="232">
        <f t="shared" si="5"/>
        <v>178425</v>
      </c>
      <c r="N17" s="240">
        <f>SUM(N14:N16)</f>
        <v>530212.5</v>
      </c>
      <c r="O17" s="232">
        <f aca="true" t="shared" si="6" ref="O17:AD17">SUM(O14:O16)</f>
        <v>355162.5</v>
      </c>
      <c r="P17" s="232">
        <f t="shared" si="6"/>
        <v>358537.5</v>
      </c>
      <c r="Q17" s="232">
        <f t="shared" si="6"/>
        <v>361912.5</v>
      </c>
      <c r="R17" s="232">
        <f t="shared" si="6"/>
        <v>365287.5</v>
      </c>
      <c r="S17" s="232">
        <f t="shared" si="6"/>
        <v>368662.5</v>
      </c>
      <c r="T17" s="232">
        <f t="shared" si="6"/>
        <v>372037.5</v>
      </c>
      <c r="U17" s="232">
        <f t="shared" si="6"/>
        <v>375412.5</v>
      </c>
      <c r="V17" s="232">
        <f t="shared" si="6"/>
        <v>378787.5</v>
      </c>
      <c r="W17" s="232">
        <f t="shared" si="6"/>
        <v>382162.5</v>
      </c>
      <c r="X17" s="232">
        <f t="shared" si="6"/>
        <v>385537.5</v>
      </c>
      <c r="Y17" s="232">
        <f t="shared" si="6"/>
        <v>388912.5</v>
      </c>
      <c r="Z17" s="232">
        <f t="shared" si="6"/>
        <v>392287.5</v>
      </c>
      <c r="AA17" s="241">
        <f t="shared" si="6"/>
        <v>4484700</v>
      </c>
      <c r="AB17" s="243">
        <f t="shared" si="6"/>
        <v>9377887.5</v>
      </c>
      <c r="AC17" s="243">
        <f t="shared" si="6"/>
        <v>19564830</v>
      </c>
      <c r="AD17" s="244">
        <f t="shared" si="6"/>
        <v>30693870</v>
      </c>
      <c r="AE17" s="47"/>
      <c r="AF17" s="47"/>
    </row>
    <row r="18" spans="3:32" ht="12.75">
      <c r="C18" s="63" t="s">
        <v>228</v>
      </c>
      <c r="D18" s="232"/>
      <c r="E18" s="232"/>
      <c r="F18" s="232"/>
      <c r="G18" s="232"/>
      <c r="H18" s="232"/>
      <c r="I18" s="232"/>
      <c r="J18" s="232"/>
      <c r="K18" s="232"/>
      <c r="L18" s="232"/>
      <c r="M18" s="233"/>
      <c r="N18" s="230">
        <f>N17/N8</f>
        <v>1.106338028169014</v>
      </c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32"/>
      <c r="Z18" s="232"/>
      <c r="AA18" s="254">
        <f>AA17/AA8</f>
        <v>0.5158385093167702</v>
      </c>
      <c r="AB18" s="232">
        <f>AB17/AB8</f>
        <v>0.27136857868350805</v>
      </c>
      <c r="AC18" s="232">
        <f>AC17/AC8</f>
        <v>0.226191896560096</v>
      </c>
      <c r="AD18" s="233">
        <f>AD17/AD8</f>
        <v>0.22424352011361992</v>
      </c>
      <c r="AE18" s="47"/>
      <c r="AF18" s="47"/>
    </row>
    <row r="19" spans="3:32" ht="12.75">
      <c r="C19" s="63"/>
      <c r="D19" s="245"/>
      <c r="E19" s="245"/>
      <c r="F19" s="245"/>
      <c r="G19" s="245"/>
      <c r="H19" s="245"/>
      <c r="I19" s="245"/>
      <c r="J19" s="245"/>
      <c r="K19" s="245"/>
      <c r="L19" s="245"/>
      <c r="M19" s="245"/>
      <c r="N19" s="251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245"/>
      <c r="Z19" s="245"/>
      <c r="AA19" s="254"/>
      <c r="AB19" s="256"/>
      <c r="AC19" s="232"/>
      <c r="AD19" s="233"/>
      <c r="AE19" s="47"/>
      <c r="AF19" s="47"/>
    </row>
    <row r="20" spans="1:32" ht="12">
      <c r="A20" s="48" t="s">
        <v>108</v>
      </c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57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29"/>
      <c r="Z20" s="229"/>
      <c r="AA20" s="254"/>
      <c r="AB20" s="256"/>
      <c r="AC20" s="232"/>
      <c r="AD20" s="233"/>
      <c r="AE20" s="47"/>
      <c r="AF20" s="47"/>
    </row>
    <row r="21" spans="3:32" ht="12.75">
      <c r="C21" s="29" t="s">
        <v>140</v>
      </c>
      <c r="D21" s="258">
        <f>'Dept Budget'!E17</f>
        <v>23933.333333333332</v>
      </c>
      <c r="E21" s="258">
        <f>'Dept Budget'!F17</f>
        <v>22333.333333333332</v>
      </c>
      <c r="F21" s="258">
        <f>'Dept Budget'!G17</f>
        <v>34933.333333333336</v>
      </c>
      <c r="G21" s="258">
        <f>'Dept Budget'!H17</f>
        <v>33333.333333333336</v>
      </c>
      <c r="H21" s="258">
        <f>'Dept Budget'!I17</f>
        <v>33333.333333333336</v>
      </c>
      <c r="I21" s="258">
        <f>'Dept Budget'!J17</f>
        <v>33333.333333333336</v>
      </c>
      <c r="J21" s="258">
        <f>'Dept Budget'!K17</f>
        <v>33333.333333333336</v>
      </c>
      <c r="K21" s="258">
        <f>'Dept Budget'!L17</f>
        <v>33333.333333333336</v>
      </c>
      <c r="L21" s="258">
        <f>'Dept Budget'!M17</f>
        <v>33333.333333333336</v>
      </c>
      <c r="M21" s="259">
        <f>'Dept Budget'!N17</f>
        <v>33333.333333333336</v>
      </c>
      <c r="N21" s="257">
        <f>'Dept Budget'!O17</f>
        <v>314533.3333333334</v>
      </c>
      <c r="O21" s="231">
        <f>'Dept Budget'!P17</f>
        <v>45235.16666666667</v>
      </c>
      <c r="P21" s="258">
        <f>'Dept Budget'!Q17</f>
        <v>44435.16666666667</v>
      </c>
      <c r="Q21" s="258">
        <f>'Dept Budget'!R17</f>
        <v>44435.16666666667</v>
      </c>
      <c r="R21" s="258">
        <f>'Dept Budget'!S17</f>
        <v>44435.16666666667</v>
      </c>
      <c r="S21" s="258">
        <f>'Dept Budget'!T17</f>
        <v>44435.16666666667</v>
      </c>
      <c r="T21" s="258">
        <f>'Dept Budget'!U17</f>
        <v>44435.16666666667</v>
      </c>
      <c r="U21" s="258">
        <f>'Dept Budget'!V17</f>
        <v>57985.166666666664</v>
      </c>
      <c r="V21" s="258">
        <f>'Dept Budget'!W17</f>
        <v>57185.166666666664</v>
      </c>
      <c r="W21" s="258">
        <f>'Dept Budget'!X17</f>
        <v>61068.5</v>
      </c>
      <c r="X21" s="258">
        <f>'Dept Budget'!Y17</f>
        <v>60268.5</v>
      </c>
      <c r="Y21" s="258">
        <f>'Dept Budget'!Z17</f>
        <v>60268.5</v>
      </c>
      <c r="Z21" s="258">
        <f>'Dept Budget'!AA17</f>
        <v>60268.5</v>
      </c>
      <c r="AA21" s="254">
        <f aca="true" t="shared" si="7" ref="AA21:AA35">SUM(O21:Z21)</f>
        <v>624455.3333333335</v>
      </c>
      <c r="AB21" s="258">
        <f>'Dept Budget'!AC17</f>
        <v>845481.1000000001</v>
      </c>
      <c r="AC21" s="258">
        <f>'Dept Budget'!AD17</f>
        <v>885346.1950000001</v>
      </c>
      <c r="AD21" s="259">
        <f>'Dept Budget'!AE17</f>
        <v>915717.37595</v>
      </c>
      <c r="AE21" s="47"/>
      <c r="AF21" s="47"/>
    </row>
    <row r="22" spans="3:32" ht="12.75">
      <c r="C22" s="29" t="s">
        <v>22</v>
      </c>
      <c r="D22" s="258">
        <f>'Dept Budget'!E33</f>
        <v>0</v>
      </c>
      <c r="E22" s="258">
        <f>'Dept Budget'!F33</f>
        <v>0</v>
      </c>
      <c r="F22" s="258">
        <f>'Dept Budget'!G33</f>
        <v>0</v>
      </c>
      <c r="G22" s="258">
        <f>'Dept Budget'!H33</f>
        <v>0</v>
      </c>
      <c r="H22" s="258">
        <f>'Dept Budget'!I33</f>
        <v>0</v>
      </c>
      <c r="I22" s="258">
        <f>'Dept Budget'!J33</f>
        <v>0</v>
      </c>
      <c r="J22" s="258">
        <f>'Dept Budget'!K33</f>
        <v>0</v>
      </c>
      <c r="K22" s="258">
        <f>'Dept Budget'!L33</f>
        <v>32333.333333333332</v>
      </c>
      <c r="L22" s="258">
        <f>'Dept Budget'!M33</f>
        <v>41033.333333333336</v>
      </c>
      <c r="M22" s="259">
        <f>'Dept Budget'!N33</f>
        <v>55533.333333333336</v>
      </c>
      <c r="N22" s="257">
        <f>'Dept Budget'!O33</f>
        <v>128900</v>
      </c>
      <c r="O22" s="231">
        <f>'Dept Budget'!P33</f>
        <v>62632.66666666666</v>
      </c>
      <c r="P22" s="258">
        <f>'Dept Budget'!Q33</f>
        <v>61832.66666666666</v>
      </c>
      <c r="Q22" s="258">
        <f>'Dept Budget'!R33</f>
        <v>61832.66666666666</v>
      </c>
      <c r="R22" s="258">
        <f>'Dept Budget'!S33</f>
        <v>61832.66666666666</v>
      </c>
      <c r="S22" s="258">
        <f>'Dept Budget'!T33</f>
        <v>61832.66666666666</v>
      </c>
      <c r="T22" s="258">
        <f>'Dept Budget'!U33</f>
        <v>61832.66666666666</v>
      </c>
      <c r="U22" s="258">
        <f>'Dept Budget'!V33</f>
        <v>69616.00000000001</v>
      </c>
      <c r="V22" s="258">
        <f>'Dept Budget'!W33</f>
        <v>68816.00000000001</v>
      </c>
      <c r="W22" s="258">
        <f>'Dept Budget'!X33</f>
        <v>84332.66666666666</v>
      </c>
      <c r="X22" s="258">
        <f>'Dept Budget'!Y33</f>
        <v>83532.66666666666</v>
      </c>
      <c r="Y22" s="258">
        <f>'Dept Budget'!Z33</f>
        <v>83532.66666666666</v>
      </c>
      <c r="Z22" s="258">
        <f>'Dept Budget'!AA33</f>
        <v>83532.66666666666</v>
      </c>
      <c r="AA22" s="254">
        <f t="shared" si="7"/>
        <v>845158.6666666664</v>
      </c>
      <c r="AB22" s="258">
        <f>'Dept Budget'!AC33</f>
        <v>990819.7599999999</v>
      </c>
      <c r="AC22" s="258">
        <f>'Dept Budget'!AD33</f>
        <v>1359473.248</v>
      </c>
      <c r="AD22" s="259">
        <f>'Dept Budget'!AE33</f>
        <v>1412795.4596000002</v>
      </c>
      <c r="AE22" s="47"/>
      <c r="AF22" s="47"/>
    </row>
    <row r="23" spans="3:32" ht="12.75">
      <c r="C23" s="29" t="s">
        <v>9</v>
      </c>
      <c r="D23" s="258">
        <f>'Dept Budget'!E49</f>
        <v>62616.666666666664</v>
      </c>
      <c r="E23" s="258">
        <f>'Dept Budget'!F49</f>
        <v>64916.66666666668</v>
      </c>
      <c r="F23" s="258">
        <f>'Dept Budget'!G49</f>
        <v>63500.00000000001</v>
      </c>
      <c r="G23" s="258">
        <f>'Dept Budget'!H49</f>
        <v>63500.00000000001</v>
      </c>
      <c r="H23" s="258">
        <f>'Dept Budget'!I49</f>
        <v>76066.66666666669</v>
      </c>
      <c r="I23" s="258">
        <f>'Dept Budget'!J49</f>
        <v>76066.66666666669</v>
      </c>
      <c r="J23" s="258">
        <f>'Dept Budget'!K49</f>
        <v>76066.66666666669</v>
      </c>
      <c r="K23" s="258">
        <f>'Dept Budget'!L49</f>
        <v>80900</v>
      </c>
      <c r="L23" s="258">
        <f>'Dept Budget'!M49</f>
        <v>80900</v>
      </c>
      <c r="M23" s="259">
        <f>'Dept Budget'!N49</f>
        <v>80900</v>
      </c>
      <c r="N23" s="257">
        <f>'Dept Budget'!O49</f>
        <v>725433.3333333334</v>
      </c>
      <c r="O23" s="231">
        <f>'Dept Budget'!P49</f>
        <v>83348.66666666666</v>
      </c>
      <c r="P23" s="258">
        <f>'Dept Budget'!Q49</f>
        <v>83348.66666666666</v>
      </c>
      <c r="Q23" s="258">
        <f>'Dept Budget'!R49</f>
        <v>83348.66666666666</v>
      </c>
      <c r="R23" s="258">
        <f>'Dept Budget'!S49</f>
        <v>83348.66666666666</v>
      </c>
      <c r="S23" s="258">
        <f>'Dept Budget'!T49</f>
        <v>83348.66666666666</v>
      </c>
      <c r="T23" s="258">
        <f>'Dept Budget'!U49</f>
        <v>83348.66666666666</v>
      </c>
      <c r="U23" s="258">
        <f>'Dept Budget'!V49</f>
        <v>93190.33333333333</v>
      </c>
      <c r="V23" s="258">
        <f>'Dept Budget'!W49</f>
        <v>91690.33333333333</v>
      </c>
      <c r="W23" s="258">
        <f>'Dept Budget'!X49</f>
        <v>91732</v>
      </c>
      <c r="X23" s="258">
        <f>'Dept Budget'!Y49</f>
        <v>101532.00000000001</v>
      </c>
      <c r="Y23" s="258">
        <f>'Dept Budget'!Z49</f>
        <v>109832</v>
      </c>
      <c r="Z23" s="258">
        <f>'Dept Budget'!AA49</f>
        <v>108332</v>
      </c>
      <c r="AA23" s="254">
        <f t="shared" si="7"/>
        <v>1096400.6666666665</v>
      </c>
      <c r="AB23" s="258">
        <f>'Dept Budget'!AC49</f>
        <v>1352870.7000000002</v>
      </c>
      <c r="AC23" s="258">
        <f>'Dept Budget'!AD49</f>
        <v>1433039.2349999999</v>
      </c>
      <c r="AD23" s="259">
        <f>'Dept Budget'!AE49</f>
        <v>1486541.19675</v>
      </c>
      <c r="AE23" s="47"/>
      <c r="AF23" s="47"/>
    </row>
    <row r="24" spans="3:32" ht="12.75">
      <c r="C24" s="29" t="s">
        <v>19</v>
      </c>
      <c r="D24" s="258">
        <f>'Dept Budget'!E64</f>
        <v>0</v>
      </c>
      <c r="E24" s="258">
        <f>'Dept Budget'!F64</f>
        <v>0</v>
      </c>
      <c r="F24" s="258">
        <f>'Dept Budget'!G64</f>
        <v>0</v>
      </c>
      <c r="G24" s="258">
        <f>'Dept Budget'!H64</f>
        <v>0</v>
      </c>
      <c r="H24" s="258">
        <f>'Dept Budget'!I64</f>
        <v>21166.666666666668</v>
      </c>
      <c r="I24" s="258">
        <f>'Dept Budget'!J64</f>
        <v>20366.666666666668</v>
      </c>
      <c r="J24" s="258">
        <f>'Dept Budget'!K64</f>
        <v>35016.66666666667</v>
      </c>
      <c r="K24" s="258">
        <f>'Dept Budget'!L64</f>
        <v>33416.66666666667</v>
      </c>
      <c r="L24" s="258">
        <f>'Dept Budget'!M64</f>
        <v>33416.66666666667</v>
      </c>
      <c r="M24" s="259">
        <f>'Dept Budget'!N64</f>
        <v>33416.66666666667</v>
      </c>
      <c r="N24" s="257">
        <f>'Dept Budget'!O64</f>
        <v>176800</v>
      </c>
      <c r="O24" s="231">
        <f>'Dept Budget'!P64</f>
        <v>44397.83333333333</v>
      </c>
      <c r="P24" s="258">
        <f>'Dept Budget'!Q64</f>
        <v>43597.83333333333</v>
      </c>
      <c r="Q24" s="258">
        <f>'Dept Budget'!R64</f>
        <v>43597.83333333333</v>
      </c>
      <c r="R24" s="258">
        <f>'Dept Budget'!S64</f>
        <v>50197.83333333333</v>
      </c>
      <c r="S24" s="258">
        <f>'Dept Budget'!T64</f>
        <v>49397.83333333333</v>
      </c>
      <c r="T24" s="258">
        <f>'Dept Budget'!U64</f>
        <v>49397.83333333333</v>
      </c>
      <c r="U24" s="258">
        <f>'Dept Budget'!V64</f>
        <v>51589.5</v>
      </c>
      <c r="V24" s="258">
        <f>'Dept Budget'!W64</f>
        <v>51589.5</v>
      </c>
      <c r="W24" s="258">
        <f>'Dept Budget'!X64</f>
        <v>60381.16666666667</v>
      </c>
      <c r="X24" s="258">
        <f>'Dept Budget'!Y64</f>
        <v>59581.16666666667</v>
      </c>
      <c r="Y24" s="258">
        <f>'Dept Budget'!Z64</f>
        <v>66181.16666666667</v>
      </c>
      <c r="Z24" s="258">
        <f>'Dept Budget'!AA64</f>
        <v>65381.16666666667</v>
      </c>
      <c r="AA24" s="254">
        <f t="shared" si="7"/>
        <v>635290.6666666666</v>
      </c>
      <c r="AB24" s="258">
        <f>'Dept Budget'!AC64</f>
        <v>1104697.7</v>
      </c>
      <c r="AC24" s="258">
        <f>'Dept Budget'!AD64</f>
        <v>1434917.56</v>
      </c>
      <c r="AD24" s="259">
        <f>'Dept Budget'!AE64</f>
        <v>1851517.5629999998</v>
      </c>
      <c r="AE24" s="47"/>
      <c r="AF24" s="47"/>
    </row>
    <row r="25" spans="2:32" ht="12.75">
      <c r="B25" s="29">
        <v>50</v>
      </c>
      <c r="C25" s="29" t="s">
        <v>254</v>
      </c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N25" s="257"/>
      <c r="O25" s="258"/>
      <c r="P25" s="258"/>
      <c r="Q25" s="258"/>
      <c r="R25" s="258"/>
      <c r="S25" s="258"/>
      <c r="T25" s="258"/>
      <c r="U25" s="258"/>
      <c r="V25" s="258"/>
      <c r="W25" s="258"/>
      <c r="X25" s="258"/>
      <c r="Y25" s="258"/>
      <c r="Z25" s="258"/>
      <c r="AA25" s="254"/>
      <c r="AB25" s="258">
        <f>$B25*'RevenueFig9.2'!AB120</f>
        <v>150000</v>
      </c>
      <c r="AC25" s="258">
        <f>$B25*'RevenueFig9.2'!AC120</f>
        <v>550000</v>
      </c>
      <c r="AD25" s="258">
        <f>$B25*'RevenueFig9.2'!AD120</f>
        <v>1300000</v>
      </c>
      <c r="AE25" s="47"/>
      <c r="AF25" s="47"/>
    </row>
    <row r="26" spans="3:32" ht="12.75">
      <c r="C26" s="29" t="s">
        <v>252</v>
      </c>
      <c r="D26" s="258">
        <v>200000</v>
      </c>
      <c r="E26" s="258"/>
      <c r="F26" s="258"/>
      <c r="G26" s="258"/>
      <c r="H26" s="258"/>
      <c r="I26" s="258"/>
      <c r="J26" s="258"/>
      <c r="K26" s="258"/>
      <c r="L26" s="258"/>
      <c r="M26" s="258"/>
      <c r="N26" s="257">
        <f>SUM(D26:M26)</f>
        <v>200000</v>
      </c>
      <c r="O26" s="258"/>
      <c r="P26" s="258"/>
      <c r="Q26" s="258"/>
      <c r="R26" s="258"/>
      <c r="S26" s="258"/>
      <c r="T26" s="258"/>
      <c r="U26" s="258"/>
      <c r="V26" s="258"/>
      <c r="W26" s="258"/>
      <c r="X26" s="258"/>
      <c r="Y26" s="258"/>
      <c r="Z26" s="258"/>
      <c r="AA26" s="254">
        <v>100000</v>
      </c>
      <c r="AB26" s="258">
        <v>100000</v>
      </c>
      <c r="AC26" s="258">
        <v>100000</v>
      </c>
      <c r="AD26" s="259">
        <v>100000</v>
      </c>
      <c r="AE26" s="47"/>
      <c r="AF26" s="47"/>
    </row>
    <row r="27" spans="3:32" ht="12.75">
      <c r="C27" s="29" t="s">
        <v>82</v>
      </c>
      <c r="D27" s="229">
        <v>350</v>
      </c>
      <c r="E27" s="229">
        <v>350</v>
      </c>
      <c r="F27" s="229">
        <v>350</v>
      </c>
      <c r="G27" s="229">
        <v>350</v>
      </c>
      <c r="H27" s="229">
        <v>350</v>
      </c>
      <c r="I27" s="229">
        <v>350</v>
      </c>
      <c r="J27" s="229">
        <v>350</v>
      </c>
      <c r="K27" s="229">
        <v>350</v>
      </c>
      <c r="L27" s="229">
        <v>350</v>
      </c>
      <c r="M27" s="229">
        <v>350</v>
      </c>
      <c r="N27" s="230">
        <f>SUM(D27:M27)</f>
        <v>3500</v>
      </c>
      <c r="O27" s="229">
        <v>350</v>
      </c>
      <c r="P27" s="229">
        <v>350</v>
      </c>
      <c r="Q27" s="229">
        <v>350</v>
      </c>
      <c r="R27" s="229">
        <v>350</v>
      </c>
      <c r="S27" s="229">
        <v>350</v>
      </c>
      <c r="T27" s="229">
        <v>350</v>
      </c>
      <c r="U27" s="229">
        <v>350</v>
      </c>
      <c r="V27" s="229">
        <v>350</v>
      </c>
      <c r="W27" s="229">
        <v>350</v>
      </c>
      <c r="X27" s="229">
        <v>350</v>
      </c>
      <c r="Y27" s="229">
        <v>350</v>
      </c>
      <c r="Z27" s="229">
        <v>350</v>
      </c>
      <c r="AA27" s="254">
        <f t="shared" si="7"/>
        <v>4200</v>
      </c>
      <c r="AB27" s="256">
        <f aca="true" t="shared" si="8" ref="AB27:AD29">AA27*1.1</f>
        <v>4620</v>
      </c>
      <c r="AC27" s="232">
        <f t="shared" si="8"/>
        <v>5082</v>
      </c>
      <c r="AD27" s="233">
        <f t="shared" si="8"/>
        <v>5590.200000000001</v>
      </c>
      <c r="AE27" s="47"/>
      <c r="AF27" s="47"/>
    </row>
    <row r="28" spans="3:32" ht="12.75">
      <c r="C28" s="29" t="s">
        <v>248</v>
      </c>
      <c r="D28" s="229">
        <v>24000</v>
      </c>
      <c r="E28" s="229">
        <v>12000</v>
      </c>
      <c r="F28" s="229">
        <v>2000</v>
      </c>
      <c r="G28" s="229">
        <v>2000</v>
      </c>
      <c r="H28" s="229">
        <v>2000</v>
      </c>
      <c r="I28" s="229">
        <v>2000</v>
      </c>
      <c r="J28" s="229">
        <v>10000</v>
      </c>
      <c r="K28" s="229">
        <v>2000</v>
      </c>
      <c r="L28" s="229">
        <v>2000</v>
      </c>
      <c r="M28" s="229">
        <v>2000</v>
      </c>
      <c r="N28" s="230">
        <f>SUM(D28:M28)</f>
        <v>60000</v>
      </c>
      <c r="O28" s="256">
        <v>3000</v>
      </c>
      <c r="P28" s="256">
        <v>3000</v>
      </c>
      <c r="Q28" s="256">
        <v>3000</v>
      </c>
      <c r="R28" s="256">
        <v>3000</v>
      </c>
      <c r="S28" s="256">
        <v>3000</v>
      </c>
      <c r="T28" s="256">
        <v>3000</v>
      </c>
      <c r="U28" s="256">
        <v>3000</v>
      </c>
      <c r="V28" s="256">
        <v>3000</v>
      </c>
      <c r="W28" s="256">
        <v>3000</v>
      </c>
      <c r="X28" s="256">
        <v>3000</v>
      </c>
      <c r="Y28" s="256">
        <v>3000</v>
      </c>
      <c r="Z28" s="256">
        <v>3000</v>
      </c>
      <c r="AA28" s="254">
        <f t="shared" si="7"/>
        <v>36000</v>
      </c>
      <c r="AB28" s="256">
        <f>AA28*1.1</f>
        <v>39600</v>
      </c>
      <c r="AC28" s="232">
        <f t="shared" si="8"/>
        <v>43560</v>
      </c>
      <c r="AD28" s="233">
        <f t="shared" si="8"/>
        <v>47916.00000000001</v>
      </c>
      <c r="AE28" s="47"/>
      <c r="AF28" s="47"/>
    </row>
    <row r="29" spans="3:32" ht="12.75">
      <c r="C29" s="29" t="s">
        <v>229</v>
      </c>
      <c r="D29" s="229">
        <v>0</v>
      </c>
      <c r="E29" s="229">
        <v>0</v>
      </c>
      <c r="F29" s="229">
        <v>0</v>
      </c>
      <c r="G29" s="229">
        <v>0</v>
      </c>
      <c r="H29" s="229">
        <v>0</v>
      </c>
      <c r="I29" s="229">
        <v>0</v>
      </c>
      <c r="J29" s="229">
        <v>0</v>
      </c>
      <c r="K29" s="229">
        <v>10000</v>
      </c>
      <c r="L29" s="229">
        <v>10000</v>
      </c>
      <c r="M29" s="229">
        <v>10000</v>
      </c>
      <c r="N29" s="230">
        <f>SUM(K29:M29)</f>
        <v>30000</v>
      </c>
      <c r="O29" s="229">
        <v>10000</v>
      </c>
      <c r="P29" s="229">
        <v>10000</v>
      </c>
      <c r="Q29" s="229">
        <v>10000</v>
      </c>
      <c r="R29" s="229">
        <v>10000</v>
      </c>
      <c r="S29" s="229">
        <v>10000</v>
      </c>
      <c r="T29" s="229">
        <v>10000</v>
      </c>
      <c r="U29" s="229">
        <v>10000</v>
      </c>
      <c r="V29" s="229">
        <v>10000</v>
      </c>
      <c r="W29" s="229">
        <v>10000</v>
      </c>
      <c r="X29" s="229">
        <v>10000</v>
      </c>
      <c r="Y29" s="229">
        <v>10000</v>
      </c>
      <c r="Z29" s="229">
        <v>10000</v>
      </c>
      <c r="AA29" s="254">
        <f t="shared" si="7"/>
        <v>120000</v>
      </c>
      <c r="AB29" s="256">
        <f>AA29*1.1</f>
        <v>132000</v>
      </c>
      <c r="AC29" s="256">
        <f t="shared" si="8"/>
        <v>145200</v>
      </c>
      <c r="AD29" s="256">
        <f t="shared" si="8"/>
        <v>159720</v>
      </c>
      <c r="AE29" s="47"/>
      <c r="AF29" s="47"/>
    </row>
    <row r="30" spans="1:32" ht="12.75">
      <c r="A30" s="208"/>
      <c r="B30" s="148">
        <v>25000</v>
      </c>
      <c r="C30" s="29" t="s">
        <v>242</v>
      </c>
      <c r="D30" s="229">
        <v>0</v>
      </c>
      <c r="E30" s="229">
        <v>0</v>
      </c>
      <c r="F30" s="229">
        <v>0</v>
      </c>
      <c r="G30" s="229">
        <v>0</v>
      </c>
      <c r="H30" s="229">
        <v>0</v>
      </c>
      <c r="I30" s="229">
        <v>0</v>
      </c>
      <c r="J30" s="229">
        <v>0</v>
      </c>
      <c r="K30" s="229">
        <v>0</v>
      </c>
      <c r="L30" s="229">
        <v>0</v>
      </c>
      <c r="M30" s="229">
        <v>0</v>
      </c>
      <c r="N30" s="230">
        <f>SUM(K30:M30)</f>
        <v>0</v>
      </c>
      <c r="O30" s="256">
        <f>$B30/12</f>
        <v>2083.3333333333335</v>
      </c>
      <c r="P30" s="256">
        <f aca="true" t="shared" si="9" ref="P30:Z30">$B30/12</f>
        <v>2083.3333333333335</v>
      </c>
      <c r="Q30" s="256">
        <f t="shared" si="9"/>
        <v>2083.3333333333335</v>
      </c>
      <c r="R30" s="256">
        <f t="shared" si="9"/>
        <v>2083.3333333333335</v>
      </c>
      <c r="S30" s="256">
        <f t="shared" si="9"/>
        <v>2083.3333333333335</v>
      </c>
      <c r="T30" s="256">
        <f t="shared" si="9"/>
        <v>2083.3333333333335</v>
      </c>
      <c r="U30" s="256">
        <f t="shared" si="9"/>
        <v>2083.3333333333335</v>
      </c>
      <c r="V30" s="256">
        <f t="shared" si="9"/>
        <v>2083.3333333333335</v>
      </c>
      <c r="W30" s="256">
        <f t="shared" si="9"/>
        <v>2083.3333333333335</v>
      </c>
      <c r="X30" s="256">
        <f t="shared" si="9"/>
        <v>2083.3333333333335</v>
      </c>
      <c r="Y30" s="256">
        <f t="shared" si="9"/>
        <v>2083.3333333333335</v>
      </c>
      <c r="Z30" s="256">
        <f t="shared" si="9"/>
        <v>2083.3333333333335</v>
      </c>
      <c r="AA30" s="254">
        <f t="shared" si="7"/>
        <v>24999.999999999996</v>
      </c>
      <c r="AB30" s="256">
        <f>AA30*1.05</f>
        <v>26249.999999999996</v>
      </c>
      <c r="AC30" s="232">
        <f>AB30*1.05</f>
        <v>27562.499999999996</v>
      </c>
      <c r="AD30" s="233">
        <f>AC30*1.05</f>
        <v>28940.624999999996</v>
      </c>
      <c r="AE30" s="47"/>
      <c r="AF30" s="47"/>
    </row>
    <row r="31" spans="1:32" ht="12.75">
      <c r="A31" s="208"/>
      <c r="B31" s="148">
        <v>50000</v>
      </c>
      <c r="C31" s="29" t="s">
        <v>243</v>
      </c>
      <c r="D31" s="229">
        <v>0</v>
      </c>
      <c r="E31" s="229">
        <v>0</v>
      </c>
      <c r="F31" s="229">
        <v>0</v>
      </c>
      <c r="G31" s="229">
        <v>0</v>
      </c>
      <c r="H31" s="229">
        <v>0</v>
      </c>
      <c r="I31" s="229">
        <v>0</v>
      </c>
      <c r="J31" s="229">
        <v>0</v>
      </c>
      <c r="K31" s="229">
        <f>'RevenueFig9.2'!K122*50000/12</f>
        <v>4166.666666666667</v>
      </c>
      <c r="L31" s="229">
        <f>'RevenueFig9.2'!L122*50000/12</f>
        <v>4166.666666666667</v>
      </c>
      <c r="M31" s="229">
        <f>'RevenueFig9.2'!M122*50000/12</f>
        <v>4166.666666666667</v>
      </c>
      <c r="N31" s="230">
        <f>SUM(D31:M31)</f>
        <v>12500</v>
      </c>
      <c r="O31" s="229">
        <f>'RevenueFig9.2'!O122*50000/12</f>
        <v>4166.666666666667</v>
      </c>
      <c r="P31" s="229">
        <f>'RevenueFig9.2'!P122*50000/12</f>
        <v>4166.666666666667</v>
      </c>
      <c r="Q31" s="229">
        <f>'RevenueFig9.2'!Q122*50000/12</f>
        <v>4166.666666666667</v>
      </c>
      <c r="R31" s="229">
        <f>'RevenueFig9.2'!R122*50000/12</f>
        <v>4166.666666666667</v>
      </c>
      <c r="S31" s="229">
        <f>'RevenueFig9.2'!S122*50000/12</f>
        <v>4166.666666666667</v>
      </c>
      <c r="T31" s="229">
        <f>'RevenueFig9.2'!T122*50000/12</f>
        <v>4166.666666666667</v>
      </c>
      <c r="U31" s="229">
        <f>'RevenueFig9.2'!U122*50000/12</f>
        <v>4166.666666666667</v>
      </c>
      <c r="V31" s="229">
        <f>'RevenueFig9.2'!V122*50000/12</f>
        <v>4166.666666666667</v>
      </c>
      <c r="W31" s="229">
        <f>'RevenueFig9.2'!W122*50000/12</f>
        <v>4166.666666666667</v>
      </c>
      <c r="X31" s="229">
        <f>'RevenueFig9.2'!X122*50000/12</f>
        <v>4166.666666666667</v>
      </c>
      <c r="Y31" s="229">
        <f>'RevenueFig9.2'!Y122*50000/12</f>
        <v>4166.666666666667</v>
      </c>
      <c r="Z31" s="229">
        <f>'RevenueFig9.2'!Z122*50000/12</f>
        <v>4166.666666666667</v>
      </c>
      <c r="AA31" s="254">
        <f t="shared" si="7"/>
        <v>49999.99999999999</v>
      </c>
      <c r="AB31" s="229">
        <f>'RevenueFig9.2'!AB122*50000</f>
        <v>150000</v>
      </c>
      <c r="AC31" s="258">
        <f>'RevenueFig9.2'!AC122*50000</f>
        <v>250000</v>
      </c>
      <c r="AD31" s="259">
        <f>'RevenueFig9.2'!AD122*50000</f>
        <v>350000</v>
      </c>
      <c r="AE31" s="47"/>
      <c r="AF31" s="47"/>
    </row>
    <row r="32" spans="1:32" ht="12.75">
      <c r="A32" s="208"/>
      <c r="B32" s="148">
        <v>20</v>
      </c>
      <c r="C32" s="29" t="s">
        <v>244</v>
      </c>
      <c r="D32" s="229">
        <f>Headcount!E86*$B32/12*500</f>
        <v>5833.333333333333</v>
      </c>
      <c r="E32" s="229">
        <f>Headcount!F86*$B32/12*500</f>
        <v>6666.666666666667</v>
      </c>
      <c r="F32" s="229">
        <f>Headcount!G86*$B32/12*500</f>
        <v>8333.333333333334</v>
      </c>
      <c r="G32" s="229">
        <f>Headcount!H86*$B32/12*500</f>
        <v>8333.333333333334</v>
      </c>
      <c r="H32" s="229">
        <f>Headcount!I86*$B32/12*500</f>
        <v>10833.333333333334</v>
      </c>
      <c r="I32" s="229">
        <f>Headcount!J86*$B32/12*500</f>
        <v>10833.333333333334</v>
      </c>
      <c r="J32" s="229">
        <f>Headcount!K86*$B32/12*500</f>
        <v>12500</v>
      </c>
      <c r="K32" s="229">
        <f>Headcount!L86*$B32/12*500</f>
        <v>14166.666666666666</v>
      </c>
      <c r="L32" s="229">
        <f>Headcount!M86*$B32/12*500</f>
        <v>15000</v>
      </c>
      <c r="M32" s="229">
        <f>Headcount!N86*$B32/12*500</f>
        <v>15833.333333333334</v>
      </c>
      <c r="N32" s="230">
        <f>SUM(D32:M32)</f>
        <v>108333.33333333334</v>
      </c>
      <c r="O32" s="229">
        <f>Headcount!P86*$B32/12*500</f>
        <v>18333.333333333332</v>
      </c>
      <c r="P32" s="229">
        <f>Headcount!Q86*$B32/12*500</f>
        <v>18333.333333333332</v>
      </c>
      <c r="Q32" s="229">
        <f>Headcount!R86*$B32/12*500</f>
        <v>18333.333333333332</v>
      </c>
      <c r="R32" s="229">
        <f>Headcount!S86*$B32/12*500</f>
        <v>19166.666666666668</v>
      </c>
      <c r="S32" s="229">
        <f>Headcount!T86*$B32/12*500</f>
        <v>19166.666666666668</v>
      </c>
      <c r="T32" s="229">
        <f>Headcount!U86*$B32/12*500</f>
        <v>19166.666666666668</v>
      </c>
      <c r="U32" s="229">
        <f>Headcount!V86*$B32/12*500</f>
        <v>21666.666666666668</v>
      </c>
      <c r="V32" s="229">
        <f>Headcount!W86*$B32/12*500</f>
        <v>21666.666666666668</v>
      </c>
      <c r="W32" s="229">
        <f>Headcount!X86*$B32/12*500</f>
        <v>24166.666666666668</v>
      </c>
      <c r="X32" s="229">
        <f>Headcount!Y86*$B32/12*500</f>
        <v>25000</v>
      </c>
      <c r="Y32" s="229">
        <f>Headcount!Z86*$B32/12*500</f>
        <v>26666.666666666668</v>
      </c>
      <c r="Z32" s="229">
        <f>Headcount!AA86*$B32/12*500</f>
        <v>26666.666666666668</v>
      </c>
      <c r="AA32" s="254">
        <f t="shared" si="7"/>
        <v>258333.3333333333</v>
      </c>
      <c r="AB32" s="256">
        <f>AB56*500*15+30000</f>
        <v>30000</v>
      </c>
      <c r="AC32" s="232">
        <f>AC56*500*15+30000</f>
        <v>30000</v>
      </c>
      <c r="AD32" s="233">
        <f>AD56*500*15+30000</f>
        <v>30000</v>
      </c>
      <c r="AE32" s="47"/>
      <c r="AF32" s="47"/>
    </row>
    <row r="33" spans="1:32" ht="12.75">
      <c r="A33" s="208"/>
      <c r="B33" s="148"/>
      <c r="C33" s="29" t="s">
        <v>247</v>
      </c>
      <c r="D33" s="229">
        <v>100</v>
      </c>
      <c r="E33" s="229">
        <v>100</v>
      </c>
      <c r="F33" s="229">
        <v>100</v>
      </c>
      <c r="G33" s="229">
        <v>100</v>
      </c>
      <c r="H33" s="229">
        <v>100</v>
      </c>
      <c r="I33" s="229">
        <v>100</v>
      </c>
      <c r="J33" s="229">
        <v>100</v>
      </c>
      <c r="K33" s="229">
        <v>100</v>
      </c>
      <c r="L33" s="229">
        <v>100</v>
      </c>
      <c r="M33" s="229">
        <v>100</v>
      </c>
      <c r="N33" s="230">
        <f>SUM(D33:M33)</f>
        <v>1000</v>
      </c>
      <c r="O33" s="229">
        <v>100</v>
      </c>
      <c r="P33" s="229">
        <v>100</v>
      </c>
      <c r="Q33" s="229">
        <v>100</v>
      </c>
      <c r="R33" s="229">
        <v>100</v>
      </c>
      <c r="S33" s="229">
        <v>100</v>
      </c>
      <c r="T33" s="229">
        <v>100</v>
      </c>
      <c r="U33" s="229">
        <v>100</v>
      </c>
      <c r="V33" s="229">
        <v>100</v>
      </c>
      <c r="W33" s="229">
        <v>100</v>
      </c>
      <c r="X33" s="229">
        <v>100</v>
      </c>
      <c r="Y33" s="229">
        <v>100</v>
      </c>
      <c r="Z33" s="229">
        <v>100</v>
      </c>
      <c r="AA33" s="254">
        <f t="shared" si="7"/>
        <v>1200</v>
      </c>
      <c r="AB33" s="256">
        <f>AA33*1.1</f>
        <v>1320</v>
      </c>
      <c r="AC33" s="256">
        <f>AB33*1.1</f>
        <v>1452.0000000000002</v>
      </c>
      <c r="AD33" s="256">
        <f>AC33*1.1</f>
        <v>1597.2000000000003</v>
      </c>
      <c r="AE33" s="47"/>
      <c r="AF33" s="47"/>
    </row>
    <row r="34" spans="1:32" ht="12.75">
      <c r="A34" s="208"/>
      <c r="B34" s="148"/>
      <c r="C34" s="29" t="s">
        <v>162</v>
      </c>
      <c r="D34" s="229">
        <v>0</v>
      </c>
      <c r="E34" s="229">
        <v>0</v>
      </c>
      <c r="F34" s="229">
        <v>0</v>
      </c>
      <c r="G34" s="229">
        <v>0</v>
      </c>
      <c r="H34" s="229">
        <v>0</v>
      </c>
      <c r="I34" s="229">
        <v>0</v>
      </c>
      <c r="J34" s="229">
        <v>60000</v>
      </c>
      <c r="K34" s="229">
        <v>0</v>
      </c>
      <c r="L34" s="229">
        <v>0</v>
      </c>
      <c r="M34" s="229">
        <v>0</v>
      </c>
      <c r="N34" s="230">
        <f>SUM(D34:M34)</f>
        <v>60000</v>
      </c>
      <c r="O34" s="232">
        <v>0</v>
      </c>
      <c r="P34" s="232">
        <v>0</v>
      </c>
      <c r="Q34" s="232">
        <v>0</v>
      </c>
      <c r="R34" s="232">
        <v>0</v>
      </c>
      <c r="S34" s="232">
        <v>60000</v>
      </c>
      <c r="T34" s="232">
        <v>0</v>
      </c>
      <c r="U34" s="232">
        <v>0</v>
      </c>
      <c r="V34" s="232">
        <v>0</v>
      </c>
      <c r="W34" s="232">
        <v>0</v>
      </c>
      <c r="X34" s="232">
        <v>60000</v>
      </c>
      <c r="Y34" s="232">
        <v>0</v>
      </c>
      <c r="Z34" s="232">
        <v>0</v>
      </c>
      <c r="AA34" s="254">
        <f t="shared" si="7"/>
        <v>120000</v>
      </c>
      <c r="AB34" s="232">
        <f>AA34</f>
        <v>120000</v>
      </c>
      <c r="AC34" s="232">
        <f>AB34</f>
        <v>120000</v>
      </c>
      <c r="AD34" s="233">
        <f>AC34</f>
        <v>120000</v>
      </c>
      <c r="AE34" s="47"/>
      <c r="AF34" s="47"/>
    </row>
    <row r="35" spans="1:32" ht="13.5" thickBot="1">
      <c r="A35" s="208"/>
      <c r="B35" s="148">
        <v>24000</v>
      </c>
      <c r="C35" s="29" t="s">
        <v>245</v>
      </c>
      <c r="D35" s="234">
        <f>$B35/12</f>
        <v>2000</v>
      </c>
      <c r="E35" s="234">
        <f aca="true" t="shared" si="10" ref="E35:Z35">$B35/12</f>
        <v>2000</v>
      </c>
      <c r="F35" s="234">
        <f t="shared" si="10"/>
        <v>2000</v>
      </c>
      <c r="G35" s="234">
        <f t="shared" si="10"/>
        <v>2000</v>
      </c>
      <c r="H35" s="234">
        <f t="shared" si="10"/>
        <v>2000</v>
      </c>
      <c r="I35" s="234">
        <f t="shared" si="10"/>
        <v>2000</v>
      </c>
      <c r="J35" s="234">
        <f t="shared" si="10"/>
        <v>2000</v>
      </c>
      <c r="K35" s="234">
        <f t="shared" si="10"/>
        <v>2000</v>
      </c>
      <c r="L35" s="234">
        <f t="shared" si="10"/>
        <v>2000</v>
      </c>
      <c r="M35" s="234">
        <f t="shared" si="10"/>
        <v>2000</v>
      </c>
      <c r="N35" s="230">
        <f>SUM(D35:M35)</f>
        <v>20000</v>
      </c>
      <c r="O35" s="258">
        <f t="shared" si="10"/>
        <v>2000</v>
      </c>
      <c r="P35" s="258">
        <f t="shared" si="10"/>
        <v>2000</v>
      </c>
      <c r="Q35" s="258">
        <f t="shared" si="10"/>
        <v>2000</v>
      </c>
      <c r="R35" s="258">
        <f t="shared" si="10"/>
        <v>2000</v>
      </c>
      <c r="S35" s="258">
        <f t="shared" si="10"/>
        <v>2000</v>
      </c>
      <c r="T35" s="258">
        <f t="shared" si="10"/>
        <v>2000</v>
      </c>
      <c r="U35" s="258">
        <f t="shared" si="10"/>
        <v>2000</v>
      </c>
      <c r="V35" s="258">
        <f t="shared" si="10"/>
        <v>2000</v>
      </c>
      <c r="W35" s="258">
        <f t="shared" si="10"/>
        <v>2000</v>
      </c>
      <c r="X35" s="258">
        <f t="shared" si="10"/>
        <v>2000</v>
      </c>
      <c r="Y35" s="258">
        <f t="shared" si="10"/>
        <v>2000</v>
      </c>
      <c r="Z35" s="258">
        <f t="shared" si="10"/>
        <v>2000</v>
      </c>
      <c r="AA35" s="254">
        <f t="shared" si="7"/>
        <v>24000</v>
      </c>
      <c r="AB35" s="232">
        <v>60000</v>
      </c>
      <c r="AC35" s="232">
        <v>70000</v>
      </c>
      <c r="AD35" s="233">
        <v>80000</v>
      </c>
      <c r="AE35" s="47"/>
      <c r="AF35" s="47"/>
    </row>
    <row r="36" spans="4:32" ht="12.75">
      <c r="D36" s="229"/>
      <c r="E36" s="229"/>
      <c r="F36" s="229"/>
      <c r="G36" s="229"/>
      <c r="H36" s="229"/>
      <c r="I36" s="229"/>
      <c r="J36" s="229"/>
      <c r="K36" s="229"/>
      <c r="L36" s="229"/>
      <c r="M36" s="229"/>
      <c r="N36" s="260"/>
      <c r="O36" s="261"/>
      <c r="P36" s="261"/>
      <c r="Q36" s="261"/>
      <c r="R36" s="261"/>
      <c r="S36" s="261"/>
      <c r="T36" s="261"/>
      <c r="U36" s="261"/>
      <c r="V36" s="261"/>
      <c r="W36" s="261"/>
      <c r="X36" s="261"/>
      <c r="Y36" s="261"/>
      <c r="Z36" s="261"/>
      <c r="AA36" s="262"/>
      <c r="AB36" s="261"/>
      <c r="AC36" s="261"/>
      <c r="AD36" s="263"/>
      <c r="AE36" s="47"/>
      <c r="AF36" s="47"/>
    </row>
    <row r="37" spans="3:32" ht="12.75">
      <c r="C37" s="63" t="s">
        <v>146</v>
      </c>
      <c r="D37" s="239">
        <f>SUM(D21:D35)</f>
        <v>318833.3333333333</v>
      </c>
      <c r="E37" s="239">
        <f aca="true" t="shared" si="11" ref="E37:Z37">SUM(E21:E35)</f>
        <v>108366.66666666669</v>
      </c>
      <c r="F37" s="239">
        <f t="shared" si="11"/>
        <v>111216.66666666667</v>
      </c>
      <c r="G37" s="239">
        <f t="shared" si="11"/>
        <v>109616.66666666667</v>
      </c>
      <c r="H37" s="239">
        <f t="shared" si="11"/>
        <v>145850.00000000003</v>
      </c>
      <c r="I37" s="239">
        <f t="shared" si="11"/>
        <v>145050.00000000003</v>
      </c>
      <c r="J37" s="239">
        <f t="shared" si="11"/>
        <v>229366.6666666667</v>
      </c>
      <c r="K37" s="239">
        <f t="shared" si="11"/>
        <v>212766.6666666667</v>
      </c>
      <c r="L37" s="239">
        <f t="shared" si="11"/>
        <v>222300.00000000003</v>
      </c>
      <c r="M37" s="239">
        <f t="shared" si="11"/>
        <v>237633.33333333337</v>
      </c>
      <c r="N37" s="251">
        <f t="shared" si="11"/>
        <v>1841000</v>
      </c>
      <c r="O37" s="264">
        <f t="shared" si="11"/>
        <v>275647.6666666666</v>
      </c>
      <c r="P37" s="264">
        <f t="shared" si="11"/>
        <v>273247.6666666666</v>
      </c>
      <c r="Q37" s="264">
        <f t="shared" si="11"/>
        <v>273247.6666666666</v>
      </c>
      <c r="R37" s="264">
        <f t="shared" si="11"/>
        <v>280681</v>
      </c>
      <c r="S37" s="264">
        <f t="shared" si="11"/>
        <v>339881</v>
      </c>
      <c r="T37" s="264">
        <f t="shared" si="11"/>
        <v>279881</v>
      </c>
      <c r="U37" s="264">
        <f t="shared" si="11"/>
        <v>315747.6666666667</v>
      </c>
      <c r="V37" s="264">
        <f t="shared" si="11"/>
        <v>312647.6666666667</v>
      </c>
      <c r="W37" s="264">
        <f t="shared" si="11"/>
        <v>343381</v>
      </c>
      <c r="X37" s="264">
        <f t="shared" si="11"/>
        <v>411614.3333333334</v>
      </c>
      <c r="Y37" s="264">
        <f t="shared" si="11"/>
        <v>368181</v>
      </c>
      <c r="Z37" s="264">
        <f t="shared" si="11"/>
        <v>365881</v>
      </c>
      <c r="AA37" s="241">
        <f>SUM(O37:Z37)</f>
        <v>3840038.666666667</v>
      </c>
      <c r="AB37" s="243">
        <f>SUM(AB21:AB35)</f>
        <v>5107659.26</v>
      </c>
      <c r="AC37" s="243">
        <f>SUM(AC21:AC35)</f>
        <v>6455632.738</v>
      </c>
      <c r="AD37" s="244">
        <f>SUM(AD21:AD35)</f>
        <v>7890335.6203000005</v>
      </c>
      <c r="AE37" s="47"/>
      <c r="AF37" s="47"/>
    </row>
    <row r="38" spans="4:32" ht="12.75">
      <c r="D38" s="229"/>
      <c r="E38" s="229"/>
      <c r="F38" s="229"/>
      <c r="G38" s="229"/>
      <c r="H38" s="229"/>
      <c r="I38" s="229"/>
      <c r="J38" s="229"/>
      <c r="K38" s="229"/>
      <c r="L38" s="229"/>
      <c r="M38" s="229"/>
      <c r="N38" s="257"/>
      <c r="O38" s="258"/>
      <c r="P38" s="258"/>
      <c r="Q38" s="258"/>
      <c r="R38" s="258"/>
      <c r="S38" s="258"/>
      <c r="T38" s="258"/>
      <c r="U38" s="258"/>
      <c r="V38" s="258"/>
      <c r="W38" s="258"/>
      <c r="X38" s="258"/>
      <c r="Y38" s="258"/>
      <c r="Z38" s="258"/>
      <c r="AA38" s="254"/>
      <c r="AB38" s="232"/>
      <c r="AC38" s="232"/>
      <c r="AD38" s="233"/>
      <c r="AE38" s="47"/>
      <c r="AF38" s="47"/>
    </row>
    <row r="39" spans="1:32" ht="12.75">
      <c r="A39" s="22" t="s">
        <v>5</v>
      </c>
      <c r="B39" s="53"/>
      <c r="D39" s="232">
        <f aca="true" t="shared" si="12" ref="D39:Y39">D11-D17-D37</f>
        <v>-318833.3333333333</v>
      </c>
      <c r="E39" s="232">
        <f t="shared" si="12"/>
        <v>-108366.66666666669</v>
      </c>
      <c r="F39" s="232">
        <f t="shared" si="12"/>
        <v>-111216.66666666667</v>
      </c>
      <c r="G39" s="232">
        <f t="shared" si="12"/>
        <v>-109616.66666666667</v>
      </c>
      <c r="H39" s="232">
        <f t="shared" si="12"/>
        <v>-145850.00000000003</v>
      </c>
      <c r="I39" s="232">
        <f t="shared" si="12"/>
        <v>-145050.00000000003</v>
      </c>
      <c r="J39" s="232">
        <f t="shared" si="12"/>
        <v>-229366.6666666667</v>
      </c>
      <c r="K39" s="232">
        <f t="shared" si="12"/>
        <v>-268116.6666666667</v>
      </c>
      <c r="L39" s="232">
        <f t="shared" si="12"/>
        <v>-247275.00000000003</v>
      </c>
      <c r="M39" s="232">
        <f t="shared" si="12"/>
        <v>-232233.33333333337</v>
      </c>
      <c r="N39" s="240">
        <f>N11-N17-N37</f>
        <v>-1915925</v>
      </c>
      <c r="O39" s="232">
        <f t="shared" si="12"/>
        <v>-295222.6666666666</v>
      </c>
      <c r="P39" s="232">
        <f t="shared" si="12"/>
        <v>-232072.66666666663</v>
      </c>
      <c r="Q39" s="232">
        <f t="shared" si="12"/>
        <v>-171322.66666666663</v>
      </c>
      <c r="R39" s="232">
        <f t="shared" si="12"/>
        <v>-118006</v>
      </c>
      <c r="S39" s="232">
        <f t="shared" si="12"/>
        <v>-116456</v>
      </c>
      <c r="T39" s="243">
        <f t="shared" si="12"/>
        <v>4294</v>
      </c>
      <c r="U39" s="232">
        <f t="shared" si="12"/>
        <v>29177.333333333314</v>
      </c>
      <c r="V39" s="232">
        <f t="shared" si="12"/>
        <v>93027.33333333331</v>
      </c>
      <c r="W39" s="232">
        <f t="shared" si="12"/>
        <v>123044</v>
      </c>
      <c r="X39" s="232">
        <f t="shared" si="12"/>
        <v>115560.66666666663</v>
      </c>
      <c r="Y39" s="232">
        <f t="shared" si="12"/>
        <v>219744</v>
      </c>
      <c r="Z39" s="232">
        <f>Z11-Z17-Z37</f>
        <v>282794</v>
      </c>
      <c r="AA39" s="241">
        <f>SUM(O39:Z39)</f>
        <v>-65438.66666666663</v>
      </c>
      <c r="AB39" s="243">
        <f>AB11-AB17-AB37</f>
        <v>18344315.740000002</v>
      </c>
      <c r="AC39" s="243">
        <f>AC11-AC17-AC37</f>
        <v>56151307.262</v>
      </c>
      <c r="AD39" s="244">
        <f>AD11-AD17-AD37</f>
        <v>91449324.3797</v>
      </c>
      <c r="AE39" s="47"/>
      <c r="AF39" s="47"/>
    </row>
    <row r="40" spans="3:32" ht="12.75">
      <c r="C40" s="63" t="s">
        <v>148</v>
      </c>
      <c r="D40" s="239"/>
      <c r="E40" s="239"/>
      <c r="F40" s="239"/>
      <c r="G40" s="239"/>
      <c r="H40" s="239"/>
      <c r="I40" s="239"/>
      <c r="J40" s="239"/>
      <c r="K40" s="239"/>
      <c r="L40" s="239"/>
      <c r="M40" s="239"/>
      <c r="N40" s="230"/>
      <c r="O40" s="232"/>
      <c r="P40" s="232"/>
      <c r="Q40" s="232"/>
      <c r="R40" s="232"/>
      <c r="S40" s="232"/>
      <c r="T40" s="232"/>
      <c r="U40" s="232"/>
      <c r="V40" s="232"/>
      <c r="W40" s="232"/>
      <c r="X40" s="232"/>
      <c r="Y40" s="232"/>
      <c r="Z40" s="232"/>
      <c r="AA40" s="254">
        <f>AA39/AA11</f>
        <v>-0.00792302818237219</v>
      </c>
      <c r="AB40" s="232">
        <f>AB39/AB8</f>
        <v>0.5308307323248765</v>
      </c>
      <c r="AC40" s="232">
        <f>AC39/AC8</f>
        <v>0.6491735774816583</v>
      </c>
      <c r="AD40" s="233">
        <f>AD39/AD8</f>
        <v>0.6681112030159837</v>
      </c>
      <c r="AE40" s="47"/>
      <c r="AF40" s="47"/>
    </row>
    <row r="41" spans="3:32" ht="12.75">
      <c r="C41" s="36"/>
      <c r="D41" s="239"/>
      <c r="E41" s="239"/>
      <c r="F41" s="239"/>
      <c r="G41" s="239"/>
      <c r="H41" s="239"/>
      <c r="I41" s="239"/>
      <c r="J41" s="239"/>
      <c r="K41" s="239"/>
      <c r="L41" s="239"/>
      <c r="M41" s="239"/>
      <c r="N41" s="230"/>
      <c r="O41" s="232"/>
      <c r="P41" s="232"/>
      <c r="Q41" s="232"/>
      <c r="R41" s="232"/>
      <c r="S41" s="232"/>
      <c r="T41" s="232"/>
      <c r="U41" s="232"/>
      <c r="V41" s="232"/>
      <c r="W41" s="232"/>
      <c r="X41" s="232"/>
      <c r="Y41" s="232"/>
      <c r="Z41" s="232"/>
      <c r="AA41" s="254"/>
      <c r="AB41" s="232"/>
      <c r="AC41" s="232"/>
      <c r="AD41" s="233"/>
      <c r="AE41" s="47"/>
      <c r="AF41" s="47"/>
    </row>
    <row r="42" spans="3:32" ht="12.75">
      <c r="C42" s="29" t="s">
        <v>246</v>
      </c>
      <c r="D42" s="229">
        <f>$N42/10</f>
        <v>5103.333333333334</v>
      </c>
      <c r="E42" s="229">
        <f aca="true" t="shared" si="13" ref="E42:M42">$N42/10</f>
        <v>5103.333333333334</v>
      </c>
      <c r="F42" s="229">
        <f t="shared" si="13"/>
        <v>5103.333333333334</v>
      </c>
      <c r="G42" s="229">
        <f t="shared" si="13"/>
        <v>5103.333333333334</v>
      </c>
      <c r="H42" s="229">
        <f t="shared" si="13"/>
        <v>5103.333333333334</v>
      </c>
      <c r="I42" s="229">
        <f t="shared" si="13"/>
        <v>5103.333333333334</v>
      </c>
      <c r="J42" s="229">
        <f t="shared" si="13"/>
        <v>5103.333333333334</v>
      </c>
      <c r="K42" s="229">
        <f t="shared" si="13"/>
        <v>5103.333333333334</v>
      </c>
      <c r="L42" s="229">
        <f t="shared" si="13"/>
        <v>5103.333333333334</v>
      </c>
      <c r="M42" s="229">
        <f t="shared" si="13"/>
        <v>5103.333333333334</v>
      </c>
      <c r="N42" s="230">
        <f>'Cap Exp'!E97</f>
        <v>51033.333333333336</v>
      </c>
      <c r="O42" s="232">
        <f>$AA42/12</f>
        <v>6937.5</v>
      </c>
      <c r="P42" s="232">
        <f aca="true" t="shared" si="14" ref="P42:Z43">$AA42/12</f>
        <v>6937.5</v>
      </c>
      <c r="Q42" s="232">
        <f t="shared" si="14"/>
        <v>6937.5</v>
      </c>
      <c r="R42" s="232">
        <f t="shared" si="14"/>
        <v>6937.5</v>
      </c>
      <c r="S42" s="232">
        <f t="shared" si="14"/>
        <v>6937.5</v>
      </c>
      <c r="T42" s="232">
        <f t="shared" si="14"/>
        <v>6937.5</v>
      </c>
      <c r="U42" s="232">
        <f t="shared" si="14"/>
        <v>6937.5</v>
      </c>
      <c r="V42" s="232">
        <f t="shared" si="14"/>
        <v>6937.5</v>
      </c>
      <c r="W42" s="232">
        <f t="shared" si="14"/>
        <v>6937.5</v>
      </c>
      <c r="X42" s="232">
        <f t="shared" si="14"/>
        <v>6937.5</v>
      </c>
      <c r="Y42" s="232">
        <f t="shared" si="14"/>
        <v>6937.5</v>
      </c>
      <c r="Z42" s="232">
        <f t="shared" si="14"/>
        <v>6937.5</v>
      </c>
      <c r="AA42" s="254">
        <f>'Cap Exp'!F97</f>
        <v>83250</v>
      </c>
      <c r="AB42" s="232">
        <f>'Cap Exp'!G97</f>
        <v>117266.66666666666</v>
      </c>
      <c r="AC42" s="232">
        <f>'Cap Exp'!H97</f>
        <v>91433.33333333333</v>
      </c>
      <c r="AD42" s="233">
        <f>'Cap Exp'!I97</f>
        <v>87750</v>
      </c>
      <c r="AE42" s="47"/>
      <c r="AF42" s="47"/>
    </row>
    <row r="43" spans="3:32" ht="12.75">
      <c r="C43" s="65" t="s">
        <v>163</v>
      </c>
      <c r="D43" s="265"/>
      <c r="E43" s="265"/>
      <c r="F43" s="265"/>
      <c r="G43" s="265"/>
      <c r="H43" s="265"/>
      <c r="I43" s="265"/>
      <c r="J43" s="265"/>
      <c r="K43" s="265"/>
      <c r="L43" s="265"/>
      <c r="M43" s="265"/>
      <c r="N43" s="230">
        <f>'Cash FlowFig9.5'!M10</f>
        <v>19615.844063945646</v>
      </c>
      <c r="O43" s="232">
        <f>$AA43/12</f>
        <v>508</v>
      </c>
      <c r="P43" s="232">
        <f t="shared" si="14"/>
        <v>508</v>
      </c>
      <c r="Q43" s="232">
        <f t="shared" si="14"/>
        <v>508</v>
      </c>
      <c r="R43" s="232">
        <f t="shared" si="14"/>
        <v>508</v>
      </c>
      <c r="S43" s="232">
        <f t="shared" si="14"/>
        <v>508</v>
      </c>
      <c r="T43" s="232">
        <f t="shared" si="14"/>
        <v>508</v>
      </c>
      <c r="U43" s="232">
        <f t="shared" si="14"/>
        <v>508</v>
      </c>
      <c r="V43" s="232">
        <f t="shared" si="14"/>
        <v>508</v>
      </c>
      <c r="W43" s="232">
        <f t="shared" si="14"/>
        <v>508</v>
      </c>
      <c r="X43" s="232">
        <f t="shared" si="14"/>
        <v>508</v>
      </c>
      <c r="Y43" s="232">
        <f t="shared" si="14"/>
        <v>508</v>
      </c>
      <c r="Z43" s="232">
        <f t="shared" si="14"/>
        <v>508</v>
      </c>
      <c r="AA43" s="254">
        <f>'Cash FlowFig9.5'!Z10</f>
        <v>6096</v>
      </c>
      <c r="AB43" s="232">
        <f>'Cash FlowFig9.5'!AA10</f>
        <v>11102.450429224466</v>
      </c>
      <c r="AC43" s="232">
        <f>'Cash FlowFig9.5'!AB10</f>
        <v>218721.48235622726</v>
      </c>
      <c r="AD43" s="233">
        <f>'Cash FlowFig9.5'!AC10</f>
        <v>1071086.5624380615</v>
      </c>
      <c r="AE43" s="47"/>
      <c r="AF43" s="47"/>
    </row>
    <row r="44" spans="3:32" ht="12.75">
      <c r="C44" s="36"/>
      <c r="D44" s="239"/>
      <c r="E44" s="239"/>
      <c r="F44" s="239"/>
      <c r="G44" s="239"/>
      <c r="H44" s="239"/>
      <c r="I44" s="239"/>
      <c r="J44" s="239"/>
      <c r="K44" s="239"/>
      <c r="L44" s="239"/>
      <c r="M44" s="239"/>
      <c r="N44" s="230"/>
      <c r="O44" s="232"/>
      <c r="P44" s="232"/>
      <c r="Q44" s="232"/>
      <c r="R44" s="232"/>
      <c r="S44" s="232"/>
      <c r="T44" s="232"/>
      <c r="U44" s="232"/>
      <c r="V44" s="232"/>
      <c r="W44" s="232"/>
      <c r="X44" s="232"/>
      <c r="Y44" s="232"/>
      <c r="Z44" s="232"/>
      <c r="AA44" s="254"/>
      <c r="AB44" s="232"/>
      <c r="AC44" s="232"/>
      <c r="AD44" s="233"/>
      <c r="AE44" s="47"/>
      <c r="AF44" s="47"/>
    </row>
    <row r="45" spans="2:32" ht="12.75">
      <c r="B45" s="29" t="s">
        <v>109</v>
      </c>
      <c r="D45" s="229"/>
      <c r="E45" s="229"/>
      <c r="F45" s="229"/>
      <c r="G45" s="229"/>
      <c r="H45" s="229"/>
      <c r="I45" s="229"/>
      <c r="J45" s="229"/>
      <c r="K45" s="229"/>
      <c r="L45" s="229"/>
      <c r="M45" s="229"/>
      <c r="N45" s="230">
        <f>IF(0.33*(N39+N43)&gt;0,0.33*(N39+N43),0)</f>
        <v>0</v>
      </c>
      <c r="O45" s="232"/>
      <c r="P45" s="232"/>
      <c r="Q45" s="232"/>
      <c r="R45" s="232"/>
      <c r="S45" s="232"/>
      <c r="T45" s="232"/>
      <c r="U45" s="232"/>
      <c r="V45" s="232"/>
      <c r="W45" s="232"/>
      <c r="X45" s="232"/>
      <c r="Y45" s="232"/>
      <c r="Z45" s="232"/>
      <c r="AA45" s="254">
        <f>IF(0.33*(AA39+AA43)&gt;0,0.33*(AA39+AA43),0)</f>
        <v>0</v>
      </c>
      <c r="AB45" s="232">
        <f>IF(0.33*(AB39+AB43)&gt;0,0.33*(AB39+AB43),0)</f>
        <v>6057288.002841645</v>
      </c>
      <c r="AC45" s="232">
        <f>IF(0.33*(AC39+AC43)&gt;0,0.33*(AC39+AC43),0)</f>
        <v>18602109.485637557</v>
      </c>
      <c r="AD45" s="233">
        <f>IF(0.33*(AD39+AD43)&gt;0,0.33*(AD39+AD43),0)</f>
        <v>30531735.61090556</v>
      </c>
      <c r="AE45" s="47"/>
      <c r="AF45" s="47"/>
    </row>
    <row r="46" spans="3:32" ht="12.75">
      <c r="C46" s="46" t="s">
        <v>105</v>
      </c>
      <c r="D46" s="245">
        <f>D39-D42+D43-D45</f>
        <v>-323936.6666666666</v>
      </c>
      <c r="E46" s="245">
        <f aca="true" t="shared" si="15" ref="E46:N46">E39-E42+E43-E45</f>
        <v>-113470.00000000001</v>
      </c>
      <c r="F46" s="245">
        <f t="shared" si="15"/>
        <v>-116320</v>
      </c>
      <c r="G46" s="245">
        <f t="shared" si="15"/>
        <v>-114720</v>
      </c>
      <c r="H46" s="245">
        <f t="shared" si="15"/>
        <v>-150953.33333333337</v>
      </c>
      <c r="I46" s="245">
        <f t="shared" si="15"/>
        <v>-150153.33333333337</v>
      </c>
      <c r="J46" s="245">
        <f t="shared" si="15"/>
        <v>-234470.00000000003</v>
      </c>
      <c r="K46" s="245">
        <f t="shared" si="15"/>
        <v>-273220</v>
      </c>
      <c r="L46" s="245">
        <f t="shared" si="15"/>
        <v>-252378.33333333337</v>
      </c>
      <c r="M46" s="245">
        <f t="shared" si="15"/>
        <v>-237336.66666666672</v>
      </c>
      <c r="N46" s="251">
        <f t="shared" si="15"/>
        <v>-1947342.4892693877</v>
      </c>
      <c r="O46" s="245">
        <f>O39-O42+O43-O45</f>
        <v>-301652.1666666666</v>
      </c>
      <c r="P46" s="245">
        <f aca="true" t="shared" si="16" ref="P46:AD46">P39-P42+P43-P45</f>
        <v>-238502.16666666663</v>
      </c>
      <c r="Q46" s="245">
        <f t="shared" si="16"/>
        <v>-177752.16666666663</v>
      </c>
      <c r="R46" s="245">
        <f t="shared" si="16"/>
        <v>-124435.5</v>
      </c>
      <c r="S46" s="245">
        <f t="shared" si="16"/>
        <v>-122885.5</v>
      </c>
      <c r="T46" s="245">
        <f t="shared" si="16"/>
        <v>-2135.5</v>
      </c>
      <c r="U46" s="245">
        <f t="shared" si="16"/>
        <v>22747.833333333314</v>
      </c>
      <c r="V46" s="245">
        <f t="shared" si="16"/>
        <v>86597.83333333331</v>
      </c>
      <c r="W46" s="245">
        <f t="shared" si="16"/>
        <v>116614.5</v>
      </c>
      <c r="X46" s="245">
        <f t="shared" si="16"/>
        <v>109131.16666666663</v>
      </c>
      <c r="Y46" s="245">
        <f t="shared" si="16"/>
        <v>213314.5</v>
      </c>
      <c r="Z46" s="245">
        <f t="shared" si="16"/>
        <v>276364.5</v>
      </c>
      <c r="AA46" s="273">
        <f t="shared" si="16"/>
        <v>-142592.66666666663</v>
      </c>
      <c r="AB46" s="245">
        <f t="shared" si="16"/>
        <v>12180863.520920914</v>
      </c>
      <c r="AC46" s="245">
        <f t="shared" si="16"/>
        <v>37676485.92538534</v>
      </c>
      <c r="AD46" s="274">
        <f t="shared" si="16"/>
        <v>61900925.3312325</v>
      </c>
      <c r="AE46" s="47"/>
      <c r="AF46" s="47"/>
    </row>
    <row r="47" spans="3:32" ht="12.75">
      <c r="C47" s="46" t="s">
        <v>147</v>
      </c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206"/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4"/>
      <c r="Z47" s="204"/>
      <c r="AA47" s="203">
        <f>AA46/AA8</f>
        <v>-0.016401272908519282</v>
      </c>
      <c r="AB47" s="204">
        <f>AB46/AB8</f>
        <v>0.35247848951164107</v>
      </c>
      <c r="AC47" s="204">
        <f>AC46/AC8</f>
        <v>0.435583432474633</v>
      </c>
      <c r="AD47" s="205">
        <f>AD46/AD8</f>
        <v>0.45223627371087194</v>
      </c>
      <c r="AE47" s="47"/>
      <c r="AF47" s="47"/>
    </row>
    <row r="48" spans="14:32" ht="12.75">
      <c r="N48" s="53"/>
      <c r="Z48" s="52"/>
      <c r="AA48" s="123"/>
      <c r="AB48" s="47"/>
      <c r="AC48" s="64"/>
      <c r="AD48" s="123"/>
      <c r="AE48" s="47"/>
      <c r="AF48" s="47"/>
    </row>
    <row r="49" spans="4:32" ht="12.75">
      <c r="D49" s="201"/>
      <c r="E49" s="201"/>
      <c r="F49" s="201"/>
      <c r="G49" s="201"/>
      <c r="H49" s="201"/>
      <c r="I49" s="201"/>
      <c r="J49" s="201"/>
      <c r="K49" s="201"/>
      <c r="L49" s="201"/>
      <c r="M49" s="201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Z49" s="201"/>
      <c r="AA49" s="201" t="s">
        <v>230</v>
      </c>
      <c r="AB49" s="64"/>
      <c r="AC49" s="202">
        <f>AC39*6</f>
        <v>336907843.572</v>
      </c>
      <c r="AD49" s="202">
        <f>AD39*6</f>
        <v>548695946.2782</v>
      </c>
      <c r="AE49" s="47"/>
      <c r="AF49" s="47"/>
    </row>
    <row r="50" spans="2:32" ht="12.75"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47"/>
      <c r="AF50" s="47"/>
    </row>
    <row r="51" spans="1:32" ht="12.75">
      <c r="A51" s="209"/>
      <c r="B51" s="53"/>
      <c r="C51" s="53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64"/>
      <c r="AC51" s="64"/>
      <c r="AD51" s="64"/>
      <c r="AE51" s="47"/>
      <c r="AF51" s="47"/>
    </row>
    <row r="52" spans="1:32" ht="12.75">
      <c r="A52" s="210"/>
      <c r="B52" s="53"/>
      <c r="C52" s="53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47"/>
      <c r="AF52" s="47"/>
    </row>
    <row r="53" spans="1:32" ht="12.75">
      <c r="A53" s="210"/>
      <c r="B53" s="53"/>
      <c r="C53" s="53"/>
      <c r="D53" s="124"/>
      <c r="E53" s="53"/>
      <c r="F53" s="53"/>
      <c r="G53" s="53"/>
      <c r="H53" s="53"/>
      <c r="I53" s="53"/>
      <c r="J53" s="53"/>
      <c r="K53" s="53"/>
      <c r="L53" s="53"/>
      <c r="M53" s="53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64"/>
      <c r="AB53" s="64"/>
      <c r="AC53" s="64"/>
      <c r="AD53" s="64"/>
      <c r="AE53" s="47"/>
      <c r="AF53" s="47"/>
    </row>
    <row r="54" spans="1:32" ht="12.75">
      <c r="A54" s="210"/>
      <c r="B54" s="53"/>
      <c r="C54" s="53"/>
      <c r="D54" s="124"/>
      <c r="E54" s="53"/>
      <c r="F54" s="53"/>
      <c r="G54" s="53"/>
      <c r="H54" s="53"/>
      <c r="I54" s="53"/>
      <c r="J54" s="53"/>
      <c r="K54" s="53"/>
      <c r="L54" s="53"/>
      <c r="M54" s="53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47"/>
      <c r="AF54" s="47"/>
    </row>
    <row r="55" spans="1:32" ht="12.75">
      <c r="A55" s="210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47"/>
      <c r="AF55" s="47"/>
    </row>
    <row r="56" spans="1:32" ht="12.75">
      <c r="A56" s="210"/>
      <c r="B56" s="53"/>
      <c r="C56" s="53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47"/>
      <c r="AF56" s="47"/>
    </row>
    <row r="57" spans="1:32" ht="12.75">
      <c r="A57" s="210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47"/>
      <c r="AF57" s="47"/>
    </row>
    <row r="58" spans="2:32" ht="12.75"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47"/>
      <c r="AF58" s="47"/>
    </row>
    <row r="59" spans="27:32" ht="12.75">
      <c r="AA59" s="47"/>
      <c r="AB59" s="47"/>
      <c r="AC59" s="47"/>
      <c r="AD59" s="47"/>
      <c r="AE59" s="47"/>
      <c r="AF59" s="47"/>
    </row>
    <row r="60" spans="27:32" ht="12.75">
      <c r="AA60" s="47"/>
      <c r="AB60" s="47"/>
      <c r="AC60" s="47"/>
      <c r="AD60" s="47"/>
      <c r="AE60" s="47"/>
      <c r="AF60" s="47"/>
    </row>
    <row r="61" spans="27:32" ht="12.75">
      <c r="AA61" s="47"/>
      <c r="AB61" s="47"/>
      <c r="AC61" s="47"/>
      <c r="AD61" s="47"/>
      <c r="AE61" s="47"/>
      <c r="AF61" s="47"/>
    </row>
    <row r="62" spans="27:32" ht="12.75">
      <c r="AA62" s="47"/>
      <c r="AB62" s="47"/>
      <c r="AC62" s="47"/>
      <c r="AD62" s="47"/>
      <c r="AE62" s="47"/>
      <c r="AF62" s="47"/>
    </row>
    <row r="63" spans="27:32" ht="12.75">
      <c r="AA63" s="47"/>
      <c r="AB63" s="47"/>
      <c r="AC63" s="47"/>
      <c r="AD63" s="47"/>
      <c r="AE63" s="47"/>
      <c r="AF63" s="47"/>
    </row>
    <row r="64" spans="27:32" ht="12.75">
      <c r="AA64" s="47"/>
      <c r="AB64" s="47"/>
      <c r="AC64" s="47"/>
      <c r="AD64" s="47"/>
      <c r="AE64" s="47"/>
      <c r="AF64" s="47"/>
    </row>
    <row r="65" spans="27:32" ht="12.75">
      <c r="AA65" s="47"/>
      <c r="AB65" s="47"/>
      <c r="AC65" s="47"/>
      <c r="AD65" s="47"/>
      <c r="AE65" s="47"/>
      <c r="AF65" s="47"/>
    </row>
    <row r="66" spans="27:32" ht="12.75">
      <c r="AA66" s="47"/>
      <c r="AB66" s="47"/>
      <c r="AC66" s="47"/>
      <c r="AD66" s="47"/>
      <c r="AE66" s="47"/>
      <c r="AF66" s="47"/>
    </row>
    <row r="67" spans="27:32" ht="12.75">
      <c r="AA67" s="47"/>
      <c r="AB67" s="47"/>
      <c r="AC67" s="47"/>
      <c r="AD67" s="47"/>
      <c r="AE67" s="47"/>
      <c r="AF67" s="47"/>
    </row>
    <row r="68" spans="27:32" ht="12.75">
      <c r="AA68" s="47"/>
      <c r="AB68" s="47"/>
      <c r="AC68" s="47"/>
      <c r="AD68" s="47"/>
      <c r="AE68" s="47"/>
      <c r="AF68" s="47"/>
    </row>
    <row r="69" spans="27:32" ht="12.75">
      <c r="AA69" s="47"/>
      <c r="AB69" s="47"/>
      <c r="AC69" s="47"/>
      <c r="AD69" s="47"/>
      <c r="AE69" s="47"/>
      <c r="AF69" s="47"/>
    </row>
    <row r="70" spans="27:32" ht="12.75">
      <c r="AA70" s="47"/>
      <c r="AB70" s="47"/>
      <c r="AC70" s="47"/>
      <c r="AD70" s="47"/>
      <c r="AE70" s="47"/>
      <c r="AF70" s="47"/>
    </row>
    <row r="71" spans="27:32" ht="12.75">
      <c r="AA71" s="47"/>
      <c r="AB71" s="47"/>
      <c r="AC71" s="47"/>
      <c r="AD71" s="47"/>
      <c r="AE71" s="47"/>
      <c r="AF71" s="47"/>
    </row>
    <row r="72" spans="27:32" ht="12.75">
      <c r="AA72" s="47"/>
      <c r="AB72" s="47"/>
      <c r="AC72" s="47"/>
      <c r="AD72" s="47"/>
      <c r="AE72" s="47"/>
      <c r="AF72" s="47"/>
    </row>
    <row r="73" spans="27:32" ht="12.75">
      <c r="AA73" s="47"/>
      <c r="AB73" s="47"/>
      <c r="AC73" s="47"/>
      <c r="AD73" s="47"/>
      <c r="AE73" s="47"/>
      <c r="AF73" s="47"/>
    </row>
    <row r="74" spans="27:32" ht="12.75">
      <c r="AA74" s="47"/>
      <c r="AB74" s="47"/>
      <c r="AC74" s="47"/>
      <c r="AD74" s="47"/>
      <c r="AE74" s="47"/>
      <c r="AF74" s="47"/>
    </row>
    <row r="75" spans="27:32" ht="12.75">
      <c r="AA75" s="47"/>
      <c r="AB75" s="47"/>
      <c r="AC75" s="47"/>
      <c r="AD75" s="47"/>
      <c r="AE75" s="47"/>
      <c r="AF75" s="47"/>
    </row>
    <row r="76" spans="27:32" ht="12.75">
      <c r="AA76" s="47"/>
      <c r="AB76" s="47"/>
      <c r="AC76" s="47"/>
      <c r="AD76" s="47"/>
      <c r="AE76" s="47"/>
      <c r="AF76" s="47"/>
    </row>
    <row r="77" spans="27:30" ht="12.75">
      <c r="AA77" s="34"/>
      <c r="AB77" s="34"/>
      <c r="AC77" s="34"/>
      <c r="AD77" s="34"/>
    </row>
    <row r="78" spans="27:30" ht="12.75">
      <c r="AA78" s="34"/>
      <c r="AB78" s="34"/>
      <c r="AC78" s="34"/>
      <c r="AD78" s="34"/>
    </row>
    <row r="79" spans="27:30" ht="12.75">
      <c r="AA79" s="34"/>
      <c r="AB79" s="34"/>
      <c r="AC79" s="34"/>
      <c r="AD79" s="34"/>
    </row>
    <row r="80" spans="27:30" ht="12.75">
      <c r="AA80" s="34"/>
      <c r="AB80" s="34"/>
      <c r="AC80" s="34"/>
      <c r="AD80" s="34"/>
    </row>
    <row r="81" spans="27:30" ht="12.75">
      <c r="AA81" s="34"/>
      <c r="AB81" s="34"/>
      <c r="AC81" s="34"/>
      <c r="AD81" s="34"/>
    </row>
    <row r="82" spans="27:30" ht="12.75">
      <c r="AA82" s="34"/>
      <c r="AB82" s="34"/>
      <c r="AC82" s="34"/>
      <c r="AD82" s="34"/>
    </row>
    <row r="83" spans="27:30" ht="12.75">
      <c r="AA83" s="34"/>
      <c r="AB83" s="34"/>
      <c r="AC83" s="34"/>
      <c r="AD83" s="34"/>
    </row>
    <row r="84" spans="27:30" ht="12.75">
      <c r="AA84" s="34"/>
      <c r="AB84" s="34"/>
      <c r="AC84" s="34"/>
      <c r="AD84" s="34"/>
    </row>
    <row r="85" spans="27:30" ht="12.75">
      <c r="AA85" s="34"/>
      <c r="AB85" s="34"/>
      <c r="AC85" s="34"/>
      <c r="AD85" s="34"/>
    </row>
    <row r="86" spans="27:30" ht="12.75">
      <c r="AA86" s="34"/>
      <c r="AB86" s="34"/>
      <c r="AC86" s="34"/>
      <c r="AD86" s="34"/>
    </row>
    <row r="87" spans="27:30" ht="12.75">
      <c r="AA87" s="34"/>
      <c r="AB87" s="34"/>
      <c r="AC87" s="34"/>
      <c r="AD87" s="34"/>
    </row>
    <row r="88" spans="27:30" ht="12.75">
      <c r="AA88" s="34"/>
      <c r="AB88" s="34"/>
      <c r="AC88" s="34"/>
      <c r="AD88" s="34"/>
    </row>
    <row r="89" spans="27:30" ht="12.75">
      <c r="AA89" s="34"/>
      <c r="AB89" s="34"/>
      <c r="AC89" s="34"/>
      <c r="AD89" s="34"/>
    </row>
    <row r="90" spans="27:30" ht="12.75">
      <c r="AA90" s="34"/>
      <c r="AB90" s="34"/>
      <c r="AC90" s="34"/>
      <c r="AD90" s="34"/>
    </row>
    <row r="91" spans="27:30" ht="12.75">
      <c r="AA91" s="34"/>
      <c r="AB91" s="34"/>
      <c r="AC91" s="34"/>
      <c r="AD91" s="34"/>
    </row>
    <row r="92" spans="27:30" ht="12.75">
      <c r="AA92" s="34"/>
      <c r="AB92" s="34"/>
      <c r="AC92" s="34"/>
      <c r="AD92" s="34"/>
    </row>
    <row r="93" spans="27:30" ht="12.75">
      <c r="AA93" s="34"/>
      <c r="AB93" s="34"/>
      <c r="AC93" s="34"/>
      <c r="AD93" s="34"/>
    </row>
    <row r="94" spans="27:30" ht="12.75">
      <c r="AA94" s="34"/>
      <c r="AB94" s="34"/>
      <c r="AC94" s="34"/>
      <c r="AD94" s="34"/>
    </row>
    <row r="95" spans="27:30" ht="12.75">
      <c r="AA95" s="34"/>
      <c r="AB95" s="34"/>
      <c r="AC95" s="34"/>
      <c r="AD95" s="34"/>
    </row>
    <row r="96" spans="27:30" ht="12.75">
      <c r="AA96" s="34"/>
      <c r="AB96" s="34"/>
      <c r="AC96" s="34"/>
      <c r="AD96" s="34"/>
    </row>
    <row r="97" spans="27:30" ht="12.75">
      <c r="AA97" s="34"/>
      <c r="AB97" s="34"/>
      <c r="AC97" s="34"/>
      <c r="AD97" s="34"/>
    </row>
    <row r="98" spans="27:30" ht="12.75">
      <c r="AA98" s="34"/>
      <c r="AB98" s="34"/>
      <c r="AC98" s="34"/>
      <c r="AD98" s="34"/>
    </row>
    <row r="99" spans="27:30" ht="12.75">
      <c r="AA99" s="34"/>
      <c r="AB99" s="34"/>
      <c r="AC99" s="34"/>
      <c r="AD99" s="34"/>
    </row>
  </sheetData>
  <sheetProtection/>
  <printOptions/>
  <pageMargins left="0.75" right="0.75" top="1" bottom="1" header="0.5" footer="0.5"/>
  <pageSetup fitToHeight="2" fitToWidth="1" horizontalDpi="300" verticalDpi="300" orientation="landscape" scale="89" r:id="rId1"/>
  <headerFooter alignWithMargins="0">
    <oddHeader>&amp;L
&amp;C&amp;"Arial,Bold"Proforma Profit and Loss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E13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2.7109375" style="29" customWidth="1"/>
    <col min="3" max="3" width="28.7109375" style="29" customWidth="1"/>
    <col min="4" max="4" width="10.57421875" style="29" customWidth="1"/>
    <col min="5" max="14" width="8.57421875" style="29" customWidth="1"/>
    <col min="15" max="31" width="10.7109375" style="29" customWidth="1"/>
    <col min="32" max="16384" width="9.140625" style="29" customWidth="1"/>
  </cols>
  <sheetData>
    <row r="1" ht="15.75">
      <c r="A1" s="28" t="s">
        <v>279</v>
      </c>
    </row>
    <row r="3" spans="4:31" ht="12">
      <c r="D3" s="30" t="s">
        <v>235</v>
      </c>
      <c r="E3" s="146" t="s">
        <v>189</v>
      </c>
      <c r="F3" s="138" t="s">
        <v>190</v>
      </c>
      <c r="G3" s="138" t="s">
        <v>191</v>
      </c>
      <c r="H3" s="138" t="s">
        <v>192</v>
      </c>
      <c r="I3" s="138" t="s">
        <v>210</v>
      </c>
      <c r="J3" s="138" t="s">
        <v>194</v>
      </c>
      <c r="K3" s="138" t="s">
        <v>195</v>
      </c>
      <c r="L3" s="138" t="s">
        <v>196</v>
      </c>
      <c r="M3" s="138" t="s">
        <v>197</v>
      </c>
      <c r="N3" s="138" t="s">
        <v>198</v>
      </c>
      <c r="O3" s="141" t="s">
        <v>164</v>
      </c>
      <c r="P3" s="144" t="s">
        <v>223</v>
      </c>
      <c r="Q3" s="144" t="s">
        <v>224</v>
      </c>
      <c r="R3" s="138" t="s">
        <v>189</v>
      </c>
      <c r="S3" s="138" t="s">
        <v>190</v>
      </c>
      <c r="T3" s="138" t="s">
        <v>191</v>
      </c>
      <c r="U3" s="138" t="s">
        <v>192</v>
      </c>
      <c r="V3" s="138" t="s">
        <v>210</v>
      </c>
      <c r="W3" s="138" t="s">
        <v>194</v>
      </c>
      <c r="X3" s="138" t="s">
        <v>195</v>
      </c>
      <c r="Y3" s="138" t="s">
        <v>196</v>
      </c>
      <c r="Z3" s="138" t="s">
        <v>197</v>
      </c>
      <c r="AA3" s="138" t="s">
        <v>198</v>
      </c>
      <c r="AB3" s="139" t="s">
        <v>165</v>
      </c>
      <c r="AC3" s="32" t="s">
        <v>166</v>
      </c>
      <c r="AD3" s="33" t="s">
        <v>167</v>
      </c>
      <c r="AE3" s="33" t="s">
        <v>168</v>
      </c>
    </row>
    <row r="4" spans="1:31" ht="11.25">
      <c r="A4" s="31" t="s">
        <v>140</v>
      </c>
      <c r="D4" s="30"/>
      <c r="E4" s="139"/>
      <c r="F4" s="30"/>
      <c r="G4" s="30"/>
      <c r="H4" s="30"/>
      <c r="I4" s="30"/>
      <c r="J4" s="30"/>
      <c r="K4" s="30"/>
      <c r="L4" s="30"/>
      <c r="M4" s="30"/>
      <c r="N4" s="30"/>
      <c r="O4" s="141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139"/>
      <c r="AC4" s="54"/>
      <c r="AD4" s="54"/>
      <c r="AE4" s="54"/>
    </row>
    <row r="5" spans="2:31" ht="11.25">
      <c r="B5" s="29" t="s">
        <v>71</v>
      </c>
      <c r="E5" s="131">
        <f>Headcount!E13</f>
        <v>2</v>
      </c>
      <c r="F5" s="34">
        <f>Headcount!F13</f>
        <v>2</v>
      </c>
      <c r="G5" s="34">
        <f>Headcount!G13</f>
        <v>4</v>
      </c>
      <c r="H5" s="34">
        <f>Headcount!H13</f>
        <v>4</v>
      </c>
      <c r="I5" s="34">
        <f>Headcount!I13</f>
        <v>4</v>
      </c>
      <c r="J5" s="34">
        <f>Headcount!J13</f>
        <v>4</v>
      </c>
      <c r="K5" s="34">
        <f>Headcount!K13</f>
        <v>4</v>
      </c>
      <c r="L5" s="34">
        <f>Headcount!L13</f>
        <v>4</v>
      </c>
      <c r="M5" s="34">
        <f>Headcount!M13</f>
        <v>4</v>
      </c>
      <c r="N5" s="34">
        <f>Headcount!N13</f>
        <v>4</v>
      </c>
      <c r="O5" s="118">
        <f>Headcount!O13</f>
        <v>4</v>
      </c>
      <c r="P5" s="34">
        <f>Headcount!P13</f>
        <v>5</v>
      </c>
      <c r="Q5" s="34">
        <f>Headcount!Q13</f>
        <v>5</v>
      </c>
      <c r="R5" s="34">
        <f>Headcount!R13</f>
        <v>5</v>
      </c>
      <c r="S5" s="34">
        <f>Headcount!S13</f>
        <v>5</v>
      </c>
      <c r="T5" s="34">
        <f>Headcount!T13</f>
        <v>5</v>
      </c>
      <c r="U5" s="34">
        <f>Headcount!U13</f>
        <v>5</v>
      </c>
      <c r="V5" s="34">
        <f>Headcount!V13</f>
        <v>6</v>
      </c>
      <c r="W5" s="34">
        <f>Headcount!W13</f>
        <v>6</v>
      </c>
      <c r="X5" s="34">
        <f>Headcount!X13</f>
        <v>7</v>
      </c>
      <c r="Y5" s="34">
        <f>Headcount!Y13</f>
        <v>7</v>
      </c>
      <c r="Z5" s="34">
        <f>Headcount!Z13</f>
        <v>7</v>
      </c>
      <c r="AA5" s="34">
        <f>Headcount!AA13</f>
        <v>7</v>
      </c>
      <c r="AB5" s="131">
        <f>Headcount!AB13</f>
        <v>7</v>
      </c>
      <c r="AC5" s="34">
        <f>Headcount!AC13</f>
        <v>7</v>
      </c>
      <c r="AD5" s="34">
        <f>Headcount!AD13</f>
        <v>7</v>
      </c>
      <c r="AE5" s="34">
        <f>Headcount!AE13</f>
        <v>7</v>
      </c>
    </row>
    <row r="6" spans="2:31" ht="11.25">
      <c r="B6" s="29" t="s">
        <v>72</v>
      </c>
      <c r="E6" s="55"/>
      <c r="O6" s="118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131"/>
      <c r="AC6" s="34"/>
      <c r="AD6" s="34"/>
      <c r="AE6" s="34"/>
    </row>
    <row r="7" spans="3:31" ht="11.25">
      <c r="C7" s="29" t="s">
        <v>73</v>
      </c>
      <c r="E7" s="131">
        <f>Headcount!E12</f>
        <v>17500</v>
      </c>
      <c r="F7" s="37">
        <f>Headcount!F12</f>
        <v>17500</v>
      </c>
      <c r="G7" s="37">
        <f>Headcount!G12</f>
        <v>26666.666666666668</v>
      </c>
      <c r="H7" s="37">
        <f>Headcount!H12</f>
        <v>26666.666666666668</v>
      </c>
      <c r="I7" s="37">
        <f>Headcount!I12</f>
        <v>26666.666666666668</v>
      </c>
      <c r="J7" s="37">
        <f>Headcount!J12</f>
        <v>26666.666666666668</v>
      </c>
      <c r="K7" s="37">
        <f>Headcount!K12</f>
        <v>26666.666666666668</v>
      </c>
      <c r="L7" s="37">
        <f>Headcount!L12</f>
        <v>26666.666666666668</v>
      </c>
      <c r="M7" s="37">
        <f>Headcount!M12</f>
        <v>26666.666666666668</v>
      </c>
      <c r="N7" s="37">
        <f>Headcount!N12</f>
        <v>26666.666666666668</v>
      </c>
      <c r="O7" s="118">
        <f>SUM(E7:N7)</f>
        <v>248333.3333333333</v>
      </c>
      <c r="P7" s="37">
        <f>Headcount!P12</f>
        <v>36079.166666666664</v>
      </c>
      <c r="Q7" s="37">
        <f>Headcount!Q12</f>
        <v>36079.166666666664</v>
      </c>
      <c r="R7" s="37">
        <f>Headcount!R12</f>
        <v>36079.166666666664</v>
      </c>
      <c r="S7" s="37">
        <f>Headcount!S12</f>
        <v>36079.166666666664</v>
      </c>
      <c r="T7" s="37">
        <f>Headcount!T12</f>
        <v>36079.166666666664</v>
      </c>
      <c r="U7" s="37">
        <f>Headcount!U12</f>
        <v>36079.166666666664</v>
      </c>
      <c r="V7" s="37">
        <f>Headcount!V12</f>
        <v>46912.5</v>
      </c>
      <c r="W7" s="37">
        <f>Headcount!W12</f>
        <v>46912.5</v>
      </c>
      <c r="X7" s="37">
        <f>Headcount!X12</f>
        <v>49412.5</v>
      </c>
      <c r="Y7" s="37">
        <f>Headcount!Y12</f>
        <v>49412.5</v>
      </c>
      <c r="Z7" s="37">
        <f>Headcount!Z12</f>
        <v>49412.5</v>
      </c>
      <c r="AA7" s="128">
        <f>Headcount!AA12</f>
        <v>49412.5</v>
      </c>
      <c r="AB7" s="131">
        <f>SUM(P7:AA7)</f>
        <v>507950</v>
      </c>
      <c r="AC7" s="34">
        <f>Headcount!AC12</f>
        <v>594897.5</v>
      </c>
      <c r="AD7" s="34">
        <f>Headcount!AD12</f>
        <v>624436.375</v>
      </c>
      <c r="AE7" s="34">
        <f>Headcount!AE12</f>
        <v>655446.0137499999</v>
      </c>
    </row>
    <row r="8" spans="3:31" ht="11.25">
      <c r="C8" s="29" t="s">
        <v>74</v>
      </c>
      <c r="D8" s="29">
        <v>0.08</v>
      </c>
      <c r="E8" s="131">
        <f aca="true" t="shared" si="0" ref="E8:N8">$D8*E7</f>
        <v>1400</v>
      </c>
      <c r="F8" s="37">
        <f t="shared" si="0"/>
        <v>1400</v>
      </c>
      <c r="G8" s="37">
        <f t="shared" si="0"/>
        <v>2133.3333333333335</v>
      </c>
      <c r="H8" s="37">
        <f t="shared" si="0"/>
        <v>2133.3333333333335</v>
      </c>
      <c r="I8" s="37">
        <f t="shared" si="0"/>
        <v>2133.3333333333335</v>
      </c>
      <c r="J8" s="37">
        <f t="shared" si="0"/>
        <v>2133.3333333333335</v>
      </c>
      <c r="K8" s="37">
        <f t="shared" si="0"/>
        <v>2133.3333333333335</v>
      </c>
      <c r="L8" s="37">
        <f t="shared" si="0"/>
        <v>2133.3333333333335</v>
      </c>
      <c r="M8" s="37">
        <f t="shared" si="0"/>
        <v>2133.3333333333335</v>
      </c>
      <c r="N8" s="37">
        <f t="shared" si="0"/>
        <v>2133.3333333333335</v>
      </c>
      <c r="O8" s="118">
        <f>SUM(E8:N8)</f>
        <v>19866.666666666668</v>
      </c>
      <c r="P8" s="37">
        <f aca="true" t="shared" si="1" ref="P8:AE8">$D8*P7</f>
        <v>2886.333333333333</v>
      </c>
      <c r="Q8" s="37">
        <f t="shared" si="1"/>
        <v>2886.333333333333</v>
      </c>
      <c r="R8" s="37">
        <f t="shared" si="1"/>
        <v>2886.333333333333</v>
      </c>
      <c r="S8" s="37">
        <f t="shared" si="1"/>
        <v>2886.333333333333</v>
      </c>
      <c r="T8" s="37">
        <f t="shared" si="1"/>
        <v>2886.333333333333</v>
      </c>
      <c r="U8" s="37">
        <f t="shared" si="1"/>
        <v>2886.333333333333</v>
      </c>
      <c r="V8" s="37">
        <f t="shared" si="1"/>
        <v>3753</v>
      </c>
      <c r="W8" s="37">
        <f t="shared" si="1"/>
        <v>3753</v>
      </c>
      <c r="X8" s="37">
        <f t="shared" si="1"/>
        <v>3953</v>
      </c>
      <c r="Y8" s="37">
        <f t="shared" si="1"/>
        <v>3953</v>
      </c>
      <c r="Z8" s="37">
        <f t="shared" si="1"/>
        <v>3953</v>
      </c>
      <c r="AA8" s="128">
        <f t="shared" si="1"/>
        <v>3953</v>
      </c>
      <c r="AB8" s="131">
        <f>SUM(P8:AA8)</f>
        <v>40636</v>
      </c>
      <c r="AC8" s="34">
        <f t="shared" si="1"/>
        <v>47591.8</v>
      </c>
      <c r="AD8" s="34">
        <f t="shared" si="1"/>
        <v>49954.91</v>
      </c>
      <c r="AE8" s="34">
        <f t="shared" si="1"/>
        <v>52435.681099999994</v>
      </c>
    </row>
    <row r="9" spans="3:31" ht="12" thickBot="1">
      <c r="C9" s="29" t="s">
        <v>75</v>
      </c>
      <c r="D9" s="53">
        <v>0.08</v>
      </c>
      <c r="E9" s="116">
        <f aca="true" t="shared" si="2" ref="E9:N9">$D9*E7</f>
        <v>1400</v>
      </c>
      <c r="F9" s="35">
        <f t="shared" si="2"/>
        <v>1400</v>
      </c>
      <c r="G9" s="35">
        <f t="shared" si="2"/>
        <v>2133.3333333333335</v>
      </c>
      <c r="H9" s="35">
        <f t="shared" si="2"/>
        <v>2133.3333333333335</v>
      </c>
      <c r="I9" s="35">
        <f t="shared" si="2"/>
        <v>2133.3333333333335</v>
      </c>
      <c r="J9" s="35">
        <f t="shared" si="2"/>
        <v>2133.3333333333335</v>
      </c>
      <c r="K9" s="35">
        <f t="shared" si="2"/>
        <v>2133.3333333333335</v>
      </c>
      <c r="L9" s="35">
        <f t="shared" si="2"/>
        <v>2133.3333333333335</v>
      </c>
      <c r="M9" s="35">
        <f t="shared" si="2"/>
        <v>2133.3333333333335</v>
      </c>
      <c r="N9" s="35">
        <f t="shared" si="2"/>
        <v>2133.3333333333335</v>
      </c>
      <c r="O9" s="120">
        <f>SUM(E9:N9)</f>
        <v>19866.666666666668</v>
      </c>
      <c r="P9" s="35">
        <f aca="true" t="shared" si="3" ref="P9:AA9">$D9*P7</f>
        <v>2886.333333333333</v>
      </c>
      <c r="Q9" s="35">
        <f t="shared" si="3"/>
        <v>2886.333333333333</v>
      </c>
      <c r="R9" s="35">
        <f t="shared" si="3"/>
        <v>2886.333333333333</v>
      </c>
      <c r="S9" s="35">
        <f t="shared" si="3"/>
        <v>2886.333333333333</v>
      </c>
      <c r="T9" s="35">
        <f t="shared" si="3"/>
        <v>2886.333333333333</v>
      </c>
      <c r="U9" s="35">
        <f t="shared" si="3"/>
        <v>2886.333333333333</v>
      </c>
      <c r="V9" s="35">
        <f t="shared" si="3"/>
        <v>3753</v>
      </c>
      <c r="W9" s="35">
        <f t="shared" si="3"/>
        <v>3753</v>
      </c>
      <c r="X9" s="35">
        <f t="shared" si="3"/>
        <v>3953</v>
      </c>
      <c r="Y9" s="35">
        <f t="shared" si="3"/>
        <v>3953</v>
      </c>
      <c r="Z9" s="35">
        <f t="shared" si="3"/>
        <v>3953</v>
      </c>
      <c r="AA9" s="137">
        <f t="shared" si="3"/>
        <v>3953</v>
      </c>
      <c r="AB9" s="116">
        <f>SUM(P9:AA9)</f>
        <v>40636</v>
      </c>
      <c r="AC9" s="35">
        <f>$D9*AC7</f>
        <v>47591.8</v>
      </c>
      <c r="AD9" s="35">
        <f>$D9*AD7</f>
        <v>49954.91</v>
      </c>
      <c r="AE9" s="35">
        <f>$D9*AE7</f>
        <v>52435.681099999994</v>
      </c>
    </row>
    <row r="10" spans="2:31" ht="11.25">
      <c r="B10" s="29" t="s">
        <v>76</v>
      </c>
      <c r="E10" s="131">
        <f>SUM(E7:E9)</f>
        <v>20300</v>
      </c>
      <c r="F10" s="37">
        <f aca="true" t="shared" si="4" ref="F10:N10">SUM(F7:F9)</f>
        <v>20300</v>
      </c>
      <c r="G10" s="37">
        <f t="shared" si="4"/>
        <v>30933.333333333332</v>
      </c>
      <c r="H10" s="37">
        <f t="shared" si="4"/>
        <v>30933.333333333332</v>
      </c>
      <c r="I10" s="37">
        <f t="shared" si="4"/>
        <v>30933.333333333332</v>
      </c>
      <c r="J10" s="37">
        <f t="shared" si="4"/>
        <v>30933.333333333332</v>
      </c>
      <c r="K10" s="37">
        <f t="shared" si="4"/>
        <v>30933.333333333332</v>
      </c>
      <c r="L10" s="37">
        <f t="shared" si="4"/>
        <v>30933.333333333332</v>
      </c>
      <c r="M10" s="37">
        <f t="shared" si="4"/>
        <v>30933.333333333332</v>
      </c>
      <c r="N10" s="37">
        <f t="shared" si="4"/>
        <v>30933.333333333332</v>
      </c>
      <c r="O10" s="118">
        <f>SUM(E10:N10)</f>
        <v>288066.6666666667</v>
      </c>
      <c r="P10" s="37">
        <f>SUM(P7:P9)</f>
        <v>41851.833333333336</v>
      </c>
      <c r="Q10" s="37">
        <f aca="true" t="shared" si="5" ref="Q10:AA10">SUM(Q7:Q9)</f>
        <v>41851.833333333336</v>
      </c>
      <c r="R10" s="37">
        <f t="shared" si="5"/>
        <v>41851.833333333336</v>
      </c>
      <c r="S10" s="37">
        <f t="shared" si="5"/>
        <v>41851.833333333336</v>
      </c>
      <c r="T10" s="37">
        <f t="shared" si="5"/>
        <v>41851.833333333336</v>
      </c>
      <c r="U10" s="37">
        <f t="shared" si="5"/>
        <v>41851.833333333336</v>
      </c>
      <c r="V10" s="37">
        <f t="shared" si="5"/>
        <v>54418.5</v>
      </c>
      <c r="W10" s="37">
        <f t="shared" si="5"/>
        <v>54418.5</v>
      </c>
      <c r="X10" s="37">
        <f t="shared" si="5"/>
        <v>57318.5</v>
      </c>
      <c r="Y10" s="37">
        <f t="shared" si="5"/>
        <v>57318.5</v>
      </c>
      <c r="Z10" s="37">
        <f t="shared" si="5"/>
        <v>57318.5</v>
      </c>
      <c r="AA10" s="37">
        <f t="shared" si="5"/>
        <v>57318.5</v>
      </c>
      <c r="AB10" s="131">
        <f>SUM(P10:AA10)</f>
        <v>589222</v>
      </c>
      <c r="AC10" s="34">
        <f>SUM(AC7:AC9)</f>
        <v>690081.1000000001</v>
      </c>
      <c r="AD10" s="34">
        <f>SUM(AD7:AD9)</f>
        <v>724346.1950000001</v>
      </c>
      <c r="AE10" s="34">
        <f>SUM(AE7:AE9)</f>
        <v>760317.37595</v>
      </c>
    </row>
    <row r="11" spans="5:31" ht="11.25">
      <c r="E11" s="55"/>
      <c r="O11" s="118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131"/>
      <c r="AC11" s="34"/>
      <c r="AD11" s="34"/>
      <c r="AE11" s="34"/>
    </row>
    <row r="12" spans="2:31" ht="11.25">
      <c r="B12" s="29" t="s">
        <v>141</v>
      </c>
      <c r="D12" s="34">
        <v>800</v>
      </c>
      <c r="E12" s="131">
        <f>IF(E5-D5&gt;0,$D12*(E5-D5),0)</f>
        <v>1600</v>
      </c>
      <c r="F12" s="37">
        <f aca="true" t="shared" si="6" ref="F12:N12">IF(F5-E5&gt;0,$D12*(F5-E5),0)</f>
        <v>0</v>
      </c>
      <c r="G12" s="37">
        <f t="shared" si="6"/>
        <v>1600</v>
      </c>
      <c r="H12" s="37">
        <f t="shared" si="6"/>
        <v>0</v>
      </c>
      <c r="I12" s="37">
        <f t="shared" si="6"/>
        <v>0</v>
      </c>
      <c r="J12" s="37">
        <f t="shared" si="6"/>
        <v>0</v>
      </c>
      <c r="K12" s="37">
        <f t="shared" si="6"/>
        <v>0</v>
      </c>
      <c r="L12" s="37">
        <f t="shared" si="6"/>
        <v>0</v>
      </c>
      <c r="M12" s="37">
        <f t="shared" si="6"/>
        <v>0</v>
      </c>
      <c r="N12" s="37">
        <f t="shared" si="6"/>
        <v>0</v>
      </c>
      <c r="O12" s="118">
        <f>SUM(E12:N12)</f>
        <v>3200</v>
      </c>
      <c r="P12" s="37">
        <f aca="true" t="shared" si="7" ref="P12:AE12">IF(P5-O5&gt;0,$D12*(P5-O5),0)</f>
        <v>800</v>
      </c>
      <c r="Q12" s="37">
        <f t="shared" si="7"/>
        <v>0</v>
      </c>
      <c r="R12" s="37">
        <f t="shared" si="7"/>
        <v>0</v>
      </c>
      <c r="S12" s="37">
        <f t="shared" si="7"/>
        <v>0</v>
      </c>
      <c r="T12" s="37">
        <f t="shared" si="7"/>
        <v>0</v>
      </c>
      <c r="U12" s="37">
        <f t="shared" si="7"/>
        <v>0</v>
      </c>
      <c r="V12" s="37">
        <f t="shared" si="7"/>
        <v>800</v>
      </c>
      <c r="W12" s="37">
        <f t="shared" si="7"/>
        <v>0</v>
      </c>
      <c r="X12" s="37">
        <f t="shared" si="7"/>
        <v>800</v>
      </c>
      <c r="Y12" s="37">
        <f t="shared" si="7"/>
        <v>0</v>
      </c>
      <c r="Z12" s="37">
        <f t="shared" si="7"/>
        <v>0</v>
      </c>
      <c r="AA12" s="37">
        <f t="shared" si="7"/>
        <v>0</v>
      </c>
      <c r="AB12" s="131">
        <f>SUM(P12:AA12)</f>
        <v>2400</v>
      </c>
      <c r="AC12" s="37">
        <f t="shared" si="7"/>
        <v>0</v>
      </c>
      <c r="AD12" s="37">
        <f>AD5*D12</f>
        <v>5600</v>
      </c>
      <c r="AE12" s="37">
        <f t="shared" si="7"/>
        <v>0</v>
      </c>
    </row>
    <row r="13" spans="2:31" ht="11.25">
      <c r="B13" s="29" t="s">
        <v>234</v>
      </c>
      <c r="D13" s="34">
        <v>20000</v>
      </c>
      <c r="E13" s="131">
        <f>$D13/12</f>
        <v>1666.6666666666667</v>
      </c>
      <c r="F13" s="37">
        <f aca="true" t="shared" si="8" ref="F13:AA13">$D13/12</f>
        <v>1666.6666666666667</v>
      </c>
      <c r="G13" s="37">
        <f t="shared" si="8"/>
        <v>1666.6666666666667</v>
      </c>
      <c r="H13" s="37">
        <f t="shared" si="8"/>
        <v>1666.6666666666667</v>
      </c>
      <c r="I13" s="37">
        <f t="shared" si="8"/>
        <v>1666.6666666666667</v>
      </c>
      <c r="J13" s="37">
        <f t="shared" si="8"/>
        <v>1666.6666666666667</v>
      </c>
      <c r="K13" s="37">
        <f t="shared" si="8"/>
        <v>1666.6666666666667</v>
      </c>
      <c r="L13" s="37">
        <f t="shared" si="8"/>
        <v>1666.6666666666667</v>
      </c>
      <c r="M13" s="37">
        <f t="shared" si="8"/>
        <v>1666.6666666666667</v>
      </c>
      <c r="N13" s="37">
        <f t="shared" si="8"/>
        <v>1666.6666666666667</v>
      </c>
      <c r="O13" s="118">
        <f>SUM(E13:N13)</f>
        <v>16666.666666666664</v>
      </c>
      <c r="P13" s="34">
        <f t="shared" si="8"/>
        <v>1666.6666666666667</v>
      </c>
      <c r="Q13" s="34">
        <f t="shared" si="8"/>
        <v>1666.6666666666667</v>
      </c>
      <c r="R13" s="34">
        <f t="shared" si="8"/>
        <v>1666.6666666666667</v>
      </c>
      <c r="S13" s="34">
        <f t="shared" si="8"/>
        <v>1666.6666666666667</v>
      </c>
      <c r="T13" s="34">
        <f t="shared" si="8"/>
        <v>1666.6666666666667</v>
      </c>
      <c r="U13" s="34">
        <f t="shared" si="8"/>
        <v>1666.6666666666667</v>
      </c>
      <c r="V13" s="34">
        <f t="shared" si="8"/>
        <v>1666.6666666666667</v>
      </c>
      <c r="W13" s="34">
        <f t="shared" si="8"/>
        <v>1666.6666666666667</v>
      </c>
      <c r="X13" s="34">
        <f t="shared" si="8"/>
        <v>1666.6666666666667</v>
      </c>
      <c r="Y13" s="34">
        <f t="shared" si="8"/>
        <v>1666.6666666666667</v>
      </c>
      <c r="Z13" s="34">
        <f t="shared" si="8"/>
        <v>1666.6666666666667</v>
      </c>
      <c r="AA13" s="34">
        <f t="shared" si="8"/>
        <v>1666.6666666666667</v>
      </c>
      <c r="AB13" s="131">
        <f>SUM(P13:AA13)</f>
        <v>20000</v>
      </c>
      <c r="AC13" s="34">
        <f>AC$5*$D13</f>
        <v>140000</v>
      </c>
      <c r="AD13" s="34">
        <f>AD$5*$D13</f>
        <v>140000</v>
      </c>
      <c r="AE13" s="34">
        <f>AE$5*$D13</f>
        <v>140000</v>
      </c>
    </row>
    <row r="14" spans="2:31" ht="11.25">
      <c r="B14" s="29" t="s">
        <v>79</v>
      </c>
      <c r="D14" s="34">
        <v>1200</v>
      </c>
      <c r="E14" s="131">
        <f>$D14*E$5/12</f>
        <v>200</v>
      </c>
      <c r="F14" s="37">
        <f aca="true" t="shared" si="9" ref="F14:AA15">$D14*F$5/12</f>
        <v>200</v>
      </c>
      <c r="G14" s="37">
        <f t="shared" si="9"/>
        <v>400</v>
      </c>
      <c r="H14" s="37">
        <f t="shared" si="9"/>
        <v>400</v>
      </c>
      <c r="I14" s="37">
        <f t="shared" si="9"/>
        <v>400</v>
      </c>
      <c r="J14" s="37">
        <f t="shared" si="9"/>
        <v>400</v>
      </c>
      <c r="K14" s="37">
        <f t="shared" si="9"/>
        <v>400</v>
      </c>
      <c r="L14" s="37">
        <f t="shared" si="9"/>
        <v>400</v>
      </c>
      <c r="M14" s="37">
        <f t="shared" si="9"/>
        <v>400</v>
      </c>
      <c r="N14" s="37">
        <f t="shared" si="9"/>
        <v>400</v>
      </c>
      <c r="O14" s="118">
        <f>SUM(E14:N14)</f>
        <v>3600</v>
      </c>
      <c r="P14" s="37">
        <f t="shared" si="9"/>
        <v>500</v>
      </c>
      <c r="Q14" s="37">
        <f t="shared" si="9"/>
        <v>500</v>
      </c>
      <c r="R14" s="37">
        <f t="shared" si="9"/>
        <v>500</v>
      </c>
      <c r="S14" s="37">
        <f t="shared" si="9"/>
        <v>500</v>
      </c>
      <c r="T14" s="37">
        <f t="shared" si="9"/>
        <v>500</v>
      </c>
      <c r="U14" s="37">
        <f t="shared" si="9"/>
        <v>500</v>
      </c>
      <c r="V14" s="37">
        <f t="shared" si="9"/>
        <v>600</v>
      </c>
      <c r="W14" s="37">
        <f t="shared" si="9"/>
        <v>600</v>
      </c>
      <c r="X14" s="37">
        <f t="shared" si="9"/>
        <v>700</v>
      </c>
      <c r="Y14" s="37">
        <f t="shared" si="9"/>
        <v>700</v>
      </c>
      <c r="Z14" s="37">
        <f t="shared" si="9"/>
        <v>700</v>
      </c>
      <c r="AA14" s="37">
        <f t="shared" si="9"/>
        <v>700</v>
      </c>
      <c r="AB14" s="131">
        <f>SUM(P14:AA14)</f>
        <v>7000</v>
      </c>
      <c r="AC14" s="34">
        <f aca="true" t="shared" si="10" ref="AC14:AE15">AC$5*$D14</f>
        <v>8400</v>
      </c>
      <c r="AD14" s="34">
        <f t="shared" si="10"/>
        <v>8400</v>
      </c>
      <c r="AE14" s="34">
        <f t="shared" si="10"/>
        <v>8400</v>
      </c>
    </row>
    <row r="15" spans="2:31" ht="12" thickBot="1">
      <c r="B15" s="29" t="s">
        <v>142</v>
      </c>
      <c r="D15" s="34">
        <v>1000</v>
      </c>
      <c r="E15" s="116">
        <f>$D15*E$5/12</f>
        <v>166.66666666666666</v>
      </c>
      <c r="F15" s="35">
        <f t="shared" si="9"/>
        <v>166.66666666666666</v>
      </c>
      <c r="G15" s="35">
        <f t="shared" si="9"/>
        <v>333.3333333333333</v>
      </c>
      <c r="H15" s="35">
        <f t="shared" si="9"/>
        <v>333.3333333333333</v>
      </c>
      <c r="I15" s="35">
        <f t="shared" si="9"/>
        <v>333.3333333333333</v>
      </c>
      <c r="J15" s="35">
        <f t="shared" si="9"/>
        <v>333.3333333333333</v>
      </c>
      <c r="K15" s="35">
        <f t="shared" si="9"/>
        <v>333.3333333333333</v>
      </c>
      <c r="L15" s="35">
        <f t="shared" si="9"/>
        <v>333.3333333333333</v>
      </c>
      <c r="M15" s="35">
        <f t="shared" si="9"/>
        <v>333.3333333333333</v>
      </c>
      <c r="N15" s="35">
        <f t="shared" si="9"/>
        <v>333.3333333333333</v>
      </c>
      <c r="O15" s="120">
        <f>SUM(E15:N15)</f>
        <v>3000</v>
      </c>
      <c r="P15" s="116">
        <f t="shared" si="9"/>
        <v>416.6666666666667</v>
      </c>
      <c r="Q15" s="35">
        <f t="shared" si="9"/>
        <v>416.6666666666667</v>
      </c>
      <c r="R15" s="35">
        <f t="shared" si="9"/>
        <v>416.6666666666667</v>
      </c>
      <c r="S15" s="35">
        <f t="shared" si="9"/>
        <v>416.6666666666667</v>
      </c>
      <c r="T15" s="35">
        <f t="shared" si="9"/>
        <v>416.6666666666667</v>
      </c>
      <c r="U15" s="35">
        <f t="shared" si="9"/>
        <v>416.6666666666667</v>
      </c>
      <c r="V15" s="35">
        <f t="shared" si="9"/>
        <v>500</v>
      </c>
      <c r="W15" s="35">
        <f t="shared" si="9"/>
        <v>500</v>
      </c>
      <c r="X15" s="35">
        <f t="shared" si="9"/>
        <v>583.3333333333334</v>
      </c>
      <c r="Y15" s="35">
        <f t="shared" si="9"/>
        <v>583.3333333333334</v>
      </c>
      <c r="Z15" s="35">
        <f t="shared" si="9"/>
        <v>583.3333333333334</v>
      </c>
      <c r="AA15" s="137">
        <f t="shared" si="9"/>
        <v>583.3333333333334</v>
      </c>
      <c r="AB15" s="131">
        <f>SUM(P15:AA15)</f>
        <v>5833.333333333333</v>
      </c>
      <c r="AC15" s="34">
        <f t="shared" si="10"/>
        <v>7000</v>
      </c>
      <c r="AD15" s="34">
        <f t="shared" si="10"/>
        <v>7000</v>
      </c>
      <c r="AE15" s="34">
        <f t="shared" si="10"/>
        <v>7000</v>
      </c>
    </row>
    <row r="16" spans="2:31" ht="12" thickBot="1">
      <c r="B16" s="29" t="s">
        <v>80</v>
      </c>
      <c r="D16" s="34"/>
      <c r="E16" s="116">
        <f>SUM(E12:E15)</f>
        <v>3633.3333333333335</v>
      </c>
      <c r="F16" s="35">
        <f aca="true" t="shared" si="11" ref="F16:O16">SUM(F12:F15)</f>
        <v>2033.3333333333335</v>
      </c>
      <c r="G16" s="35">
        <f t="shared" si="11"/>
        <v>4000.0000000000005</v>
      </c>
      <c r="H16" s="35">
        <f t="shared" si="11"/>
        <v>2400.0000000000005</v>
      </c>
      <c r="I16" s="35">
        <f t="shared" si="11"/>
        <v>2400.0000000000005</v>
      </c>
      <c r="J16" s="35">
        <f t="shared" si="11"/>
        <v>2400.0000000000005</v>
      </c>
      <c r="K16" s="35">
        <f t="shared" si="11"/>
        <v>2400.0000000000005</v>
      </c>
      <c r="L16" s="35">
        <f t="shared" si="11"/>
        <v>2400.0000000000005</v>
      </c>
      <c r="M16" s="35">
        <f t="shared" si="11"/>
        <v>2400.0000000000005</v>
      </c>
      <c r="N16" s="35">
        <f t="shared" si="11"/>
        <v>2400.0000000000005</v>
      </c>
      <c r="O16" s="120">
        <f t="shared" si="11"/>
        <v>26466.666666666664</v>
      </c>
      <c r="P16" s="136">
        <f aca="true" t="shared" si="12" ref="P16:AE16">SUM(P12:P15)</f>
        <v>3383.3333333333335</v>
      </c>
      <c r="Q16" s="66">
        <f t="shared" si="12"/>
        <v>2583.3333333333335</v>
      </c>
      <c r="R16" s="66">
        <f t="shared" si="12"/>
        <v>2583.3333333333335</v>
      </c>
      <c r="S16" s="66">
        <f t="shared" si="12"/>
        <v>2583.3333333333335</v>
      </c>
      <c r="T16" s="66">
        <f t="shared" si="12"/>
        <v>2583.3333333333335</v>
      </c>
      <c r="U16" s="66">
        <f t="shared" si="12"/>
        <v>2583.3333333333335</v>
      </c>
      <c r="V16" s="66">
        <f t="shared" si="12"/>
        <v>3566.666666666667</v>
      </c>
      <c r="W16" s="66">
        <f t="shared" si="12"/>
        <v>2766.666666666667</v>
      </c>
      <c r="X16" s="66">
        <f t="shared" si="12"/>
        <v>3750.0000000000005</v>
      </c>
      <c r="Y16" s="66">
        <f t="shared" si="12"/>
        <v>2950.0000000000005</v>
      </c>
      <c r="Z16" s="66">
        <f t="shared" si="12"/>
        <v>2950.0000000000005</v>
      </c>
      <c r="AA16" s="145">
        <f t="shared" si="12"/>
        <v>2950.0000000000005</v>
      </c>
      <c r="AB16" s="136">
        <f t="shared" si="12"/>
        <v>35233.333333333336</v>
      </c>
      <c r="AC16" s="66">
        <f t="shared" si="12"/>
        <v>155400</v>
      </c>
      <c r="AD16" s="66">
        <f t="shared" si="12"/>
        <v>161000</v>
      </c>
      <c r="AE16" s="66">
        <f t="shared" si="12"/>
        <v>155400</v>
      </c>
    </row>
    <row r="17" spans="2:31" ht="11.25">
      <c r="B17" s="67" t="s">
        <v>143</v>
      </c>
      <c r="D17" s="34"/>
      <c r="E17" s="131">
        <f>E10+E16</f>
        <v>23933.333333333332</v>
      </c>
      <c r="F17" s="34">
        <f aca="true" t="shared" si="13" ref="F17:N17">F10+F16</f>
        <v>22333.333333333332</v>
      </c>
      <c r="G17" s="34">
        <f t="shared" si="13"/>
        <v>34933.333333333336</v>
      </c>
      <c r="H17" s="34">
        <f t="shared" si="13"/>
        <v>33333.333333333336</v>
      </c>
      <c r="I17" s="34">
        <f t="shared" si="13"/>
        <v>33333.333333333336</v>
      </c>
      <c r="J17" s="34">
        <f t="shared" si="13"/>
        <v>33333.333333333336</v>
      </c>
      <c r="K17" s="34">
        <f t="shared" si="13"/>
        <v>33333.333333333336</v>
      </c>
      <c r="L17" s="34">
        <f t="shared" si="13"/>
        <v>33333.333333333336</v>
      </c>
      <c r="M17" s="34">
        <f t="shared" si="13"/>
        <v>33333.333333333336</v>
      </c>
      <c r="N17" s="34">
        <f t="shared" si="13"/>
        <v>33333.333333333336</v>
      </c>
      <c r="O17" s="133">
        <f>SUM(E17:N17)</f>
        <v>314533.3333333334</v>
      </c>
      <c r="P17" s="132">
        <f>P10+P16</f>
        <v>45235.16666666667</v>
      </c>
      <c r="Q17" s="37">
        <f aca="true" t="shared" si="14" ref="Q17:AA17">Q10+Q16</f>
        <v>44435.16666666667</v>
      </c>
      <c r="R17" s="37">
        <f t="shared" si="14"/>
        <v>44435.16666666667</v>
      </c>
      <c r="S17" s="37">
        <f t="shared" si="14"/>
        <v>44435.16666666667</v>
      </c>
      <c r="T17" s="37">
        <f t="shared" si="14"/>
        <v>44435.16666666667</v>
      </c>
      <c r="U17" s="37">
        <f t="shared" si="14"/>
        <v>44435.16666666667</v>
      </c>
      <c r="V17" s="37">
        <f t="shared" si="14"/>
        <v>57985.166666666664</v>
      </c>
      <c r="W17" s="37">
        <f t="shared" si="14"/>
        <v>57185.166666666664</v>
      </c>
      <c r="X17" s="37">
        <f t="shared" si="14"/>
        <v>61068.5</v>
      </c>
      <c r="Y17" s="37">
        <f t="shared" si="14"/>
        <v>60268.5</v>
      </c>
      <c r="Z17" s="37">
        <f t="shared" si="14"/>
        <v>60268.5</v>
      </c>
      <c r="AA17" s="37">
        <f t="shared" si="14"/>
        <v>60268.5</v>
      </c>
      <c r="AB17" s="132">
        <f>AB10+AB16</f>
        <v>624455.3333333334</v>
      </c>
      <c r="AC17" s="34">
        <f>AC10+AC16</f>
        <v>845481.1000000001</v>
      </c>
      <c r="AD17" s="34">
        <f>AD10+AD16</f>
        <v>885346.1950000001</v>
      </c>
      <c r="AE17" s="34">
        <f>AE10+AE16</f>
        <v>915717.37595</v>
      </c>
    </row>
    <row r="18" spans="4:31" ht="11.25">
      <c r="D18" s="34"/>
      <c r="E18" s="131"/>
      <c r="F18" s="34"/>
      <c r="G18" s="34"/>
      <c r="H18" s="34"/>
      <c r="I18" s="34"/>
      <c r="J18" s="34"/>
      <c r="K18" s="34"/>
      <c r="L18" s="34"/>
      <c r="M18" s="34"/>
      <c r="N18" s="34"/>
      <c r="O18" s="118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131"/>
      <c r="AC18" s="34"/>
      <c r="AD18" s="34"/>
      <c r="AE18" s="34"/>
    </row>
    <row r="19" spans="4:31" ht="11.25">
      <c r="D19" s="34"/>
      <c r="E19" s="131"/>
      <c r="F19" s="34"/>
      <c r="G19" s="34"/>
      <c r="H19" s="34"/>
      <c r="I19" s="34"/>
      <c r="J19" s="34"/>
      <c r="K19" s="34"/>
      <c r="L19" s="34"/>
      <c r="M19" s="34"/>
      <c r="N19" s="34"/>
      <c r="O19" s="118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131"/>
      <c r="AC19" s="34"/>
      <c r="AD19" s="34"/>
      <c r="AE19" s="34"/>
    </row>
    <row r="20" spans="1:31" ht="11.25">
      <c r="A20" s="31" t="s">
        <v>3</v>
      </c>
      <c r="D20" s="34"/>
      <c r="E20" s="131"/>
      <c r="F20" s="34"/>
      <c r="G20" s="34"/>
      <c r="H20" s="34"/>
      <c r="I20" s="34"/>
      <c r="J20" s="34"/>
      <c r="K20" s="34"/>
      <c r="L20" s="34"/>
      <c r="M20" s="34"/>
      <c r="N20" s="34"/>
      <c r="O20" s="118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131"/>
      <c r="AC20" s="34"/>
      <c r="AD20" s="34"/>
      <c r="AE20" s="34"/>
    </row>
    <row r="21" spans="2:31" ht="11.25">
      <c r="B21" s="29" t="s">
        <v>71</v>
      </c>
      <c r="E21" s="131"/>
      <c r="F21" s="37"/>
      <c r="G21" s="37"/>
      <c r="H21" s="37"/>
      <c r="I21" s="37"/>
      <c r="J21" s="37"/>
      <c r="K21" s="37"/>
      <c r="L21" s="37">
        <f>Headcount!L27</f>
        <v>1</v>
      </c>
      <c r="M21" s="37">
        <f>Headcount!M27</f>
        <v>2</v>
      </c>
      <c r="N21" s="128">
        <f>Headcount!N27</f>
        <v>3</v>
      </c>
      <c r="O21" s="118">
        <f>Headcount!O27</f>
        <v>3</v>
      </c>
      <c r="P21" s="131">
        <f>Headcount!P27</f>
        <v>4</v>
      </c>
      <c r="Q21" s="37">
        <f>Headcount!Q27</f>
        <v>4</v>
      </c>
      <c r="R21" s="37">
        <f>Headcount!R27</f>
        <v>4</v>
      </c>
      <c r="S21" s="37">
        <f>Headcount!S27</f>
        <v>4</v>
      </c>
      <c r="T21" s="37">
        <f>Headcount!T27</f>
        <v>4</v>
      </c>
      <c r="U21" s="37">
        <f>Headcount!U27</f>
        <v>4</v>
      </c>
      <c r="V21" s="37">
        <f>Headcount!V27</f>
        <v>5</v>
      </c>
      <c r="W21" s="37">
        <f>Headcount!W27</f>
        <v>5</v>
      </c>
      <c r="X21" s="37">
        <f>Headcount!X27</f>
        <v>6</v>
      </c>
      <c r="Y21" s="37">
        <f>Headcount!Y27</f>
        <v>6</v>
      </c>
      <c r="Z21" s="37">
        <f>Headcount!Z27</f>
        <v>6</v>
      </c>
      <c r="AA21" s="128">
        <f>Headcount!AA27</f>
        <v>6</v>
      </c>
      <c r="AB21" s="131">
        <f>Headcount!AB27</f>
        <v>6</v>
      </c>
      <c r="AC21" s="34">
        <f>Headcount!AC27</f>
        <v>7</v>
      </c>
      <c r="AD21" s="34">
        <f>Headcount!AD27</f>
        <v>7</v>
      </c>
      <c r="AE21" s="34">
        <f>Headcount!AE27</f>
        <v>7</v>
      </c>
    </row>
    <row r="22" spans="2:31" ht="11.25">
      <c r="B22" s="29" t="s">
        <v>72</v>
      </c>
      <c r="E22" s="55"/>
      <c r="F22" s="53"/>
      <c r="G22" s="53"/>
      <c r="H22" s="53"/>
      <c r="J22" s="53"/>
      <c r="K22" s="53"/>
      <c r="L22" s="53"/>
      <c r="M22" s="53"/>
      <c r="O22" s="118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131"/>
      <c r="AC22" s="34"/>
      <c r="AD22" s="34"/>
      <c r="AE22" s="34"/>
    </row>
    <row r="23" spans="3:31" ht="11.25">
      <c r="C23" s="29" t="s">
        <v>73</v>
      </c>
      <c r="E23" s="131"/>
      <c r="F23" s="37"/>
      <c r="G23" s="37"/>
      <c r="H23" s="37"/>
      <c r="I23" s="37"/>
      <c r="J23" s="37"/>
      <c r="K23" s="37"/>
      <c r="L23" s="37">
        <f>Headcount!L26</f>
        <v>25000</v>
      </c>
      <c r="M23" s="37">
        <f>Headcount!M26</f>
        <v>32500</v>
      </c>
      <c r="N23" s="128">
        <f>Headcount!N26</f>
        <v>45000</v>
      </c>
      <c r="O23" s="118">
        <f>Headcount!O26</f>
        <v>102500</v>
      </c>
      <c r="P23" s="131">
        <f>Headcount!P26</f>
        <v>50933.33333333333</v>
      </c>
      <c r="Q23" s="37">
        <f>Headcount!Q26</f>
        <v>50933.33333333333</v>
      </c>
      <c r="R23" s="37">
        <f>Headcount!R26</f>
        <v>50933.33333333333</v>
      </c>
      <c r="S23" s="37">
        <f>Headcount!S26</f>
        <v>50933.33333333333</v>
      </c>
      <c r="T23" s="37">
        <f>Headcount!T26</f>
        <v>50933.33333333333</v>
      </c>
      <c r="U23" s="37">
        <f>Headcount!U26</f>
        <v>50933.33333333333</v>
      </c>
      <c r="V23" s="37">
        <f>Headcount!V26</f>
        <v>56766.66666666667</v>
      </c>
      <c r="W23" s="37">
        <f>Headcount!W26</f>
        <v>56766.66666666667</v>
      </c>
      <c r="X23" s="37">
        <f>Headcount!X26</f>
        <v>69266.66666666667</v>
      </c>
      <c r="Y23" s="37">
        <f>Headcount!Y26</f>
        <v>69266.66666666667</v>
      </c>
      <c r="Z23" s="37">
        <f>Headcount!Z26</f>
        <v>69266.66666666667</v>
      </c>
      <c r="AA23" s="128">
        <f>Headcount!AA26</f>
        <v>69266.66666666667</v>
      </c>
      <c r="AB23" s="131">
        <f>SUM(P23:AA23)</f>
        <v>696199.9999999999</v>
      </c>
      <c r="AC23" s="34">
        <f>Headcount!AC26</f>
        <v>717085.9999999999</v>
      </c>
      <c r="AD23" s="34">
        <f>Headcount!AD26</f>
        <v>1030752.8</v>
      </c>
      <c r="AE23" s="34">
        <f>Headcount!AE26</f>
        <v>1081547.81</v>
      </c>
    </row>
    <row r="24" spans="3:31" ht="11.25">
      <c r="C24" s="29" t="s">
        <v>74</v>
      </c>
      <c r="D24" s="29">
        <v>0.08</v>
      </c>
      <c r="E24" s="55"/>
      <c r="J24" s="53"/>
      <c r="K24" s="53"/>
      <c r="L24" s="37">
        <f aca="true" t="shared" si="15" ref="L24:AA24">$D24*L23</f>
        <v>2000</v>
      </c>
      <c r="M24" s="37">
        <f t="shared" si="15"/>
        <v>2600</v>
      </c>
      <c r="N24" s="37">
        <f t="shared" si="15"/>
        <v>3600</v>
      </c>
      <c r="O24" s="118">
        <f>$D24*O23</f>
        <v>8200</v>
      </c>
      <c r="P24" s="37">
        <f t="shared" si="15"/>
        <v>4074.6666666666665</v>
      </c>
      <c r="Q24" s="37">
        <f t="shared" si="15"/>
        <v>4074.6666666666665</v>
      </c>
      <c r="R24" s="37">
        <f t="shared" si="15"/>
        <v>4074.6666666666665</v>
      </c>
      <c r="S24" s="37">
        <f t="shared" si="15"/>
        <v>4074.6666666666665</v>
      </c>
      <c r="T24" s="37">
        <f t="shared" si="15"/>
        <v>4074.6666666666665</v>
      </c>
      <c r="U24" s="37">
        <f t="shared" si="15"/>
        <v>4074.6666666666665</v>
      </c>
      <c r="V24" s="37">
        <f t="shared" si="15"/>
        <v>4541.333333333334</v>
      </c>
      <c r="W24" s="37">
        <f t="shared" si="15"/>
        <v>4541.333333333334</v>
      </c>
      <c r="X24" s="37">
        <f t="shared" si="15"/>
        <v>5541.333333333334</v>
      </c>
      <c r="Y24" s="37">
        <f t="shared" si="15"/>
        <v>5541.333333333334</v>
      </c>
      <c r="Z24" s="37">
        <f t="shared" si="15"/>
        <v>5541.333333333334</v>
      </c>
      <c r="AA24" s="37">
        <f t="shared" si="15"/>
        <v>5541.333333333334</v>
      </c>
      <c r="AB24" s="131">
        <f aca="true" t="shared" si="16" ref="AB24:AB33">SUM(P24:AA24)</f>
        <v>55696.000000000015</v>
      </c>
      <c r="AC24" s="34">
        <f>$D24*AC23</f>
        <v>57366.87999999999</v>
      </c>
      <c r="AD24" s="34">
        <f>$D24*AD23</f>
        <v>82460.224</v>
      </c>
      <c r="AE24" s="34">
        <f>$D24*AE23</f>
        <v>86523.8248</v>
      </c>
    </row>
    <row r="25" spans="3:31" ht="12" thickBot="1">
      <c r="C25" s="29" t="s">
        <v>75</v>
      </c>
      <c r="D25" s="53">
        <v>0.08</v>
      </c>
      <c r="E25" s="55"/>
      <c r="F25" s="53"/>
      <c r="G25" s="53"/>
      <c r="H25" s="53"/>
      <c r="I25" s="53"/>
      <c r="J25" s="53"/>
      <c r="K25" s="53"/>
      <c r="L25" s="35">
        <f aca="true" t="shared" si="17" ref="L25:AA25">$D25*L23</f>
        <v>2000</v>
      </c>
      <c r="M25" s="35">
        <f t="shared" si="17"/>
        <v>2600</v>
      </c>
      <c r="N25" s="35">
        <f t="shared" si="17"/>
        <v>3600</v>
      </c>
      <c r="O25" s="120">
        <f>$D25*O23</f>
        <v>8200</v>
      </c>
      <c r="P25" s="35">
        <f t="shared" si="17"/>
        <v>4074.6666666666665</v>
      </c>
      <c r="Q25" s="35">
        <f t="shared" si="17"/>
        <v>4074.6666666666665</v>
      </c>
      <c r="R25" s="35">
        <f t="shared" si="17"/>
        <v>4074.6666666666665</v>
      </c>
      <c r="S25" s="35">
        <f t="shared" si="17"/>
        <v>4074.6666666666665</v>
      </c>
      <c r="T25" s="35">
        <f t="shared" si="17"/>
        <v>4074.6666666666665</v>
      </c>
      <c r="U25" s="35">
        <f t="shared" si="17"/>
        <v>4074.6666666666665</v>
      </c>
      <c r="V25" s="35">
        <f t="shared" si="17"/>
        <v>4541.333333333334</v>
      </c>
      <c r="W25" s="35">
        <f t="shared" si="17"/>
        <v>4541.333333333334</v>
      </c>
      <c r="X25" s="35">
        <f t="shared" si="17"/>
        <v>5541.333333333334</v>
      </c>
      <c r="Y25" s="35">
        <f t="shared" si="17"/>
        <v>5541.333333333334</v>
      </c>
      <c r="Z25" s="35">
        <f t="shared" si="17"/>
        <v>5541.333333333334</v>
      </c>
      <c r="AA25" s="137">
        <f t="shared" si="17"/>
        <v>5541.333333333334</v>
      </c>
      <c r="AB25" s="116">
        <f t="shared" si="16"/>
        <v>55696.000000000015</v>
      </c>
      <c r="AC25" s="35">
        <f>$D25*AC23</f>
        <v>57366.87999999999</v>
      </c>
      <c r="AD25" s="35">
        <f>$D25*AD23</f>
        <v>82460.224</v>
      </c>
      <c r="AE25" s="35">
        <f>$D25*AE23</f>
        <v>86523.8248</v>
      </c>
    </row>
    <row r="26" spans="2:31" ht="11.25">
      <c r="B26" s="29" t="s">
        <v>76</v>
      </c>
      <c r="E26" s="55"/>
      <c r="L26" s="37">
        <f>SUM(L23:L25)</f>
        <v>29000</v>
      </c>
      <c r="M26" s="37">
        <f>SUM(M23:M25)</f>
        <v>37700</v>
      </c>
      <c r="N26" s="128">
        <f>SUM(N23:N25)</f>
        <v>52200</v>
      </c>
      <c r="O26" s="118">
        <f aca="true" t="shared" si="18" ref="O26:AE26">SUM(O23:O25)</f>
        <v>118900</v>
      </c>
      <c r="P26" s="131">
        <f t="shared" si="18"/>
        <v>59082.66666666666</v>
      </c>
      <c r="Q26" s="37">
        <f t="shared" si="18"/>
        <v>59082.66666666666</v>
      </c>
      <c r="R26" s="37">
        <f t="shared" si="18"/>
        <v>59082.66666666666</v>
      </c>
      <c r="S26" s="37">
        <f t="shared" si="18"/>
        <v>59082.66666666666</v>
      </c>
      <c r="T26" s="37">
        <f t="shared" si="18"/>
        <v>59082.66666666666</v>
      </c>
      <c r="U26" s="37">
        <f t="shared" si="18"/>
        <v>59082.66666666666</v>
      </c>
      <c r="V26" s="37">
        <f t="shared" si="18"/>
        <v>65849.33333333334</v>
      </c>
      <c r="W26" s="37">
        <f t="shared" si="18"/>
        <v>65849.33333333334</v>
      </c>
      <c r="X26" s="37">
        <f t="shared" si="18"/>
        <v>80349.33333333333</v>
      </c>
      <c r="Y26" s="37">
        <f t="shared" si="18"/>
        <v>80349.33333333333</v>
      </c>
      <c r="Z26" s="37">
        <f t="shared" si="18"/>
        <v>80349.33333333333</v>
      </c>
      <c r="AA26" s="128">
        <f t="shared" si="18"/>
        <v>80349.33333333333</v>
      </c>
      <c r="AB26" s="131">
        <f t="shared" si="16"/>
        <v>807592.0000000001</v>
      </c>
      <c r="AC26" s="34">
        <f t="shared" si="18"/>
        <v>831819.7599999999</v>
      </c>
      <c r="AD26" s="34">
        <f t="shared" si="18"/>
        <v>1195673.248</v>
      </c>
      <c r="AE26" s="34">
        <f t="shared" si="18"/>
        <v>1254595.4596000002</v>
      </c>
    </row>
    <row r="27" spans="5:31" ht="11.25">
      <c r="E27" s="55"/>
      <c r="L27" s="53"/>
      <c r="M27" s="53"/>
      <c r="O27" s="118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131"/>
      <c r="AC27" s="34"/>
      <c r="AD27" s="34"/>
      <c r="AE27" s="34"/>
    </row>
    <row r="28" spans="2:31" ht="11.25">
      <c r="B28" s="29" t="s">
        <v>141</v>
      </c>
      <c r="D28" s="34">
        <v>800</v>
      </c>
      <c r="E28" s="131"/>
      <c r="F28" s="37"/>
      <c r="G28" s="37"/>
      <c r="H28" s="37"/>
      <c r="I28" s="37"/>
      <c r="J28" s="37"/>
      <c r="K28" s="37"/>
      <c r="L28" s="37">
        <f>IF(L21-K21&gt;0,$D28*(L21-K21),0)</f>
        <v>800</v>
      </c>
      <c r="M28" s="37">
        <f>IF(M21-L21&gt;0,$D28*(M21-L21),0)</f>
        <v>800</v>
      </c>
      <c r="N28" s="37">
        <f>IF(N21-M21&gt;0,$D28*(N21-M21),0)</f>
        <v>800</v>
      </c>
      <c r="O28" s="118">
        <f aca="true" t="shared" si="19" ref="O28:O33">SUM(E28:N28)</f>
        <v>2400</v>
      </c>
      <c r="P28" s="37">
        <f aca="true" t="shared" si="20" ref="P28:AA28">IF(P21-O21&gt;0,$D28*(P21-O21),0)</f>
        <v>800</v>
      </c>
      <c r="Q28" s="37">
        <f t="shared" si="20"/>
        <v>0</v>
      </c>
      <c r="R28" s="37">
        <f t="shared" si="20"/>
        <v>0</v>
      </c>
      <c r="S28" s="37">
        <f t="shared" si="20"/>
        <v>0</v>
      </c>
      <c r="T28" s="37">
        <f t="shared" si="20"/>
        <v>0</v>
      </c>
      <c r="U28" s="37">
        <f t="shared" si="20"/>
        <v>0</v>
      </c>
      <c r="V28" s="37">
        <f t="shared" si="20"/>
        <v>800</v>
      </c>
      <c r="W28" s="37">
        <f t="shared" si="20"/>
        <v>0</v>
      </c>
      <c r="X28" s="37">
        <f t="shared" si="20"/>
        <v>800</v>
      </c>
      <c r="Y28" s="37">
        <f t="shared" si="20"/>
        <v>0</v>
      </c>
      <c r="Z28" s="37">
        <f t="shared" si="20"/>
        <v>0</v>
      </c>
      <c r="AA28" s="37">
        <f t="shared" si="20"/>
        <v>0</v>
      </c>
      <c r="AB28" s="131">
        <f t="shared" si="16"/>
        <v>2400</v>
      </c>
      <c r="AC28" s="37">
        <f>IF(AC21-AB21&gt;0,$D28*(AC21-AB21),0)</f>
        <v>800</v>
      </c>
      <c r="AD28" s="37">
        <f>AD21*D28</f>
        <v>5600</v>
      </c>
      <c r="AE28" s="37">
        <f>IF(AE21-AD21&gt;0,$D28*(AE21-AD21),0)</f>
        <v>0</v>
      </c>
    </row>
    <row r="29" spans="2:31" ht="11.25">
      <c r="B29" s="29" t="s">
        <v>77</v>
      </c>
      <c r="D29" s="34">
        <v>20000</v>
      </c>
      <c r="E29" s="131"/>
      <c r="F29" s="34"/>
      <c r="G29" s="34"/>
      <c r="H29" s="34"/>
      <c r="I29" s="34"/>
      <c r="J29" s="34"/>
      <c r="K29" s="34"/>
      <c r="L29" s="37">
        <f aca="true" t="shared" si="21" ref="L29:AA29">$D29/12</f>
        <v>1666.6666666666667</v>
      </c>
      <c r="M29" s="37">
        <f t="shared" si="21"/>
        <v>1666.6666666666667</v>
      </c>
      <c r="N29" s="37">
        <f t="shared" si="21"/>
        <v>1666.6666666666667</v>
      </c>
      <c r="O29" s="118">
        <f t="shared" si="19"/>
        <v>5000</v>
      </c>
      <c r="P29" s="37">
        <f t="shared" si="21"/>
        <v>1666.6666666666667</v>
      </c>
      <c r="Q29" s="37">
        <f t="shared" si="21"/>
        <v>1666.6666666666667</v>
      </c>
      <c r="R29" s="37">
        <f t="shared" si="21"/>
        <v>1666.6666666666667</v>
      </c>
      <c r="S29" s="37">
        <f t="shared" si="21"/>
        <v>1666.6666666666667</v>
      </c>
      <c r="T29" s="37">
        <f t="shared" si="21"/>
        <v>1666.6666666666667</v>
      </c>
      <c r="U29" s="37">
        <f t="shared" si="21"/>
        <v>1666.6666666666667</v>
      </c>
      <c r="V29" s="37">
        <f t="shared" si="21"/>
        <v>1666.6666666666667</v>
      </c>
      <c r="W29" s="37">
        <f t="shared" si="21"/>
        <v>1666.6666666666667</v>
      </c>
      <c r="X29" s="37">
        <f t="shared" si="21"/>
        <v>1666.6666666666667</v>
      </c>
      <c r="Y29" s="37">
        <f t="shared" si="21"/>
        <v>1666.6666666666667</v>
      </c>
      <c r="Z29" s="37">
        <f t="shared" si="21"/>
        <v>1666.6666666666667</v>
      </c>
      <c r="AA29" s="37">
        <f t="shared" si="21"/>
        <v>1666.6666666666667</v>
      </c>
      <c r="AB29" s="131">
        <f t="shared" si="16"/>
        <v>20000</v>
      </c>
      <c r="AC29" s="34">
        <f aca="true" t="shared" si="22" ref="AC29:AE31">AC$21*$D29</f>
        <v>140000</v>
      </c>
      <c r="AD29" s="34">
        <f t="shared" si="22"/>
        <v>140000</v>
      </c>
      <c r="AE29" s="34">
        <f t="shared" si="22"/>
        <v>140000</v>
      </c>
    </row>
    <row r="30" spans="2:31" ht="11.25">
      <c r="B30" s="29" t="s">
        <v>79</v>
      </c>
      <c r="D30" s="34">
        <v>2000</v>
      </c>
      <c r="E30" s="131"/>
      <c r="F30" s="34"/>
      <c r="G30" s="34"/>
      <c r="H30" s="34"/>
      <c r="I30" s="34"/>
      <c r="J30" s="34"/>
      <c r="K30" s="34"/>
      <c r="L30" s="37">
        <f aca="true" t="shared" si="23" ref="L30:AA31">$D30*L$5/12</f>
        <v>666.6666666666666</v>
      </c>
      <c r="M30" s="37">
        <f t="shared" si="23"/>
        <v>666.6666666666666</v>
      </c>
      <c r="N30" s="37">
        <f t="shared" si="23"/>
        <v>666.6666666666666</v>
      </c>
      <c r="O30" s="118">
        <f t="shared" si="19"/>
        <v>2000</v>
      </c>
      <c r="P30" s="37">
        <f t="shared" si="23"/>
        <v>833.3333333333334</v>
      </c>
      <c r="Q30" s="37">
        <f t="shared" si="23"/>
        <v>833.3333333333334</v>
      </c>
      <c r="R30" s="37">
        <f t="shared" si="23"/>
        <v>833.3333333333334</v>
      </c>
      <c r="S30" s="37">
        <f t="shared" si="23"/>
        <v>833.3333333333334</v>
      </c>
      <c r="T30" s="37">
        <f t="shared" si="23"/>
        <v>833.3333333333334</v>
      </c>
      <c r="U30" s="37">
        <f t="shared" si="23"/>
        <v>833.3333333333334</v>
      </c>
      <c r="V30" s="37">
        <f t="shared" si="23"/>
        <v>1000</v>
      </c>
      <c r="W30" s="37">
        <f t="shared" si="23"/>
        <v>1000</v>
      </c>
      <c r="X30" s="37">
        <f t="shared" si="23"/>
        <v>1166.6666666666667</v>
      </c>
      <c r="Y30" s="37">
        <f t="shared" si="23"/>
        <v>1166.6666666666667</v>
      </c>
      <c r="Z30" s="37">
        <f t="shared" si="23"/>
        <v>1166.6666666666667</v>
      </c>
      <c r="AA30" s="37">
        <f t="shared" si="23"/>
        <v>1166.6666666666667</v>
      </c>
      <c r="AB30" s="131">
        <f t="shared" si="16"/>
        <v>11666.666666666666</v>
      </c>
      <c r="AC30" s="34">
        <f t="shared" si="22"/>
        <v>14000</v>
      </c>
      <c r="AD30" s="34">
        <f t="shared" si="22"/>
        <v>14000</v>
      </c>
      <c r="AE30" s="34">
        <f t="shared" si="22"/>
        <v>14000</v>
      </c>
    </row>
    <row r="31" spans="2:31" ht="12" thickBot="1">
      <c r="B31" s="29" t="s">
        <v>142</v>
      </c>
      <c r="D31" s="34">
        <v>600</v>
      </c>
      <c r="E31" s="131"/>
      <c r="F31" s="34"/>
      <c r="G31" s="34"/>
      <c r="H31" s="34"/>
      <c r="I31" s="34"/>
      <c r="J31" s="34"/>
      <c r="K31" s="34"/>
      <c r="L31" s="35">
        <f t="shared" si="23"/>
        <v>200</v>
      </c>
      <c r="M31" s="35">
        <f t="shared" si="23"/>
        <v>200</v>
      </c>
      <c r="N31" s="35">
        <f t="shared" si="23"/>
        <v>200</v>
      </c>
      <c r="O31" s="120">
        <f t="shared" si="19"/>
        <v>600</v>
      </c>
      <c r="P31" s="35">
        <f t="shared" si="23"/>
        <v>250</v>
      </c>
      <c r="Q31" s="35">
        <f t="shared" si="23"/>
        <v>250</v>
      </c>
      <c r="R31" s="35">
        <f t="shared" si="23"/>
        <v>250</v>
      </c>
      <c r="S31" s="35">
        <f t="shared" si="23"/>
        <v>250</v>
      </c>
      <c r="T31" s="35">
        <f t="shared" si="23"/>
        <v>250</v>
      </c>
      <c r="U31" s="35">
        <f t="shared" si="23"/>
        <v>250</v>
      </c>
      <c r="V31" s="35">
        <f t="shared" si="23"/>
        <v>300</v>
      </c>
      <c r="W31" s="35">
        <f t="shared" si="23"/>
        <v>300</v>
      </c>
      <c r="X31" s="35">
        <f t="shared" si="23"/>
        <v>350</v>
      </c>
      <c r="Y31" s="35">
        <f t="shared" si="23"/>
        <v>350</v>
      </c>
      <c r="Z31" s="35">
        <f t="shared" si="23"/>
        <v>350</v>
      </c>
      <c r="AA31" s="35">
        <f t="shared" si="23"/>
        <v>350</v>
      </c>
      <c r="AB31" s="116">
        <f t="shared" si="16"/>
        <v>3500</v>
      </c>
      <c r="AC31" s="34">
        <f t="shared" si="22"/>
        <v>4200</v>
      </c>
      <c r="AD31" s="34">
        <f t="shared" si="22"/>
        <v>4200</v>
      </c>
      <c r="AE31" s="34">
        <f t="shared" si="22"/>
        <v>4200</v>
      </c>
    </row>
    <row r="32" spans="2:31" ht="12" thickBot="1">
      <c r="B32" s="29" t="s">
        <v>80</v>
      </c>
      <c r="D32" s="34"/>
      <c r="E32" s="131"/>
      <c r="F32" s="34"/>
      <c r="G32" s="34"/>
      <c r="H32" s="34"/>
      <c r="I32" s="34"/>
      <c r="J32" s="34"/>
      <c r="K32" s="34"/>
      <c r="L32" s="66">
        <f>SUM(L28:L31)</f>
        <v>3333.3333333333335</v>
      </c>
      <c r="M32" s="66">
        <f>SUM(M28:M31)</f>
        <v>3333.3333333333335</v>
      </c>
      <c r="N32" s="66">
        <f>SUM(N28:N31)</f>
        <v>3333.3333333333335</v>
      </c>
      <c r="O32" s="135">
        <f t="shared" si="19"/>
        <v>10000</v>
      </c>
      <c r="P32" s="66">
        <f aca="true" t="shared" si="24" ref="P32:AA32">SUM(P28:P31)</f>
        <v>3550.0000000000005</v>
      </c>
      <c r="Q32" s="66">
        <f t="shared" si="24"/>
        <v>2750</v>
      </c>
      <c r="R32" s="66">
        <f t="shared" si="24"/>
        <v>2750</v>
      </c>
      <c r="S32" s="66">
        <f t="shared" si="24"/>
        <v>2750</v>
      </c>
      <c r="T32" s="66">
        <f t="shared" si="24"/>
        <v>2750</v>
      </c>
      <c r="U32" s="66">
        <f t="shared" si="24"/>
        <v>2750</v>
      </c>
      <c r="V32" s="66">
        <f t="shared" si="24"/>
        <v>3766.666666666667</v>
      </c>
      <c r="W32" s="66">
        <f t="shared" si="24"/>
        <v>2966.666666666667</v>
      </c>
      <c r="X32" s="66">
        <f t="shared" si="24"/>
        <v>3983.333333333334</v>
      </c>
      <c r="Y32" s="66">
        <f t="shared" si="24"/>
        <v>3183.3333333333335</v>
      </c>
      <c r="Z32" s="66">
        <f t="shared" si="24"/>
        <v>3183.3333333333335</v>
      </c>
      <c r="AA32" s="66">
        <f t="shared" si="24"/>
        <v>3183.3333333333335</v>
      </c>
      <c r="AB32" s="136">
        <f t="shared" si="16"/>
        <v>37566.66666666667</v>
      </c>
      <c r="AC32" s="66">
        <f>SUM(AC28:AC31)</f>
        <v>159000</v>
      </c>
      <c r="AD32" s="66">
        <f>SUM(AD28:AD31)</f>
        <v>163800</v>
      </c>
      <c r="AE32" s="66">
        <f>SUM(AE28:AE31)</f>
        <v>158200</v>
      </c>
    </row>
    <row r="33" spans="2:31" ht="11.25">
      <c r="B33" s="31" t="s">
        <v>144</v>
      </c>
      <c r="D33" s="34"/>
      <c r="E33" s="131"/>
      <c r="F33" s="34"/>
      <c r="G33" s="34"/>
      <c r="H33" s="34"/>
      <c r="I33" s="34"/>
      <c r="J33" s="34"/>
      <c r="K33" s="34"/>
      <c r="L33" s="37">
        <f>L26+L32</f>
        <v>32333.333333333332</v>
      </c>
      <c r="M33" s="37">
        <f>M26+M32</f>
        <v>41033.333333333336</v>
      </c>
      <c r="N33" s="128">
        <f>N26+N32</f>
        <v>55533.333333333336</v>
      </c>
      <c r="O33" s="118">
        <f t="shared" si="19"/>
        <v>128900</v>
      </c>
      <c r="P33" s="131">
        <f aca="true" t="shared" si="25" ref="P33:AA33">P26+P32</f>
        <v>62632.66666666666</v>
      </c>
      <c r="Q33" s="37">
        <f t="shared" si="25"/>
        <v>61832.66666666666</v>
      </c>
      <c r="R33" s="37">
        <f t="shared" si="25"/>
        <v>61832.66666666666</v>
      </c>
      <c r="S33" s="37">
        <f t="shared" si="25"/>
        <v>61832.66666666666</v>
      </c>
      <c r="T33" s="37">
        <f t="shared" si="25"/>
        <v>61832.66666666666</v>
      </c>
      <c r="U33" s="37">
        <f t="shared" si="25"/>
        <v>61832.66666666666</v>
      </c>
      <c r="V33" s="37">
        <f t="shared" si="25"/>
        <v>69616.00000000001</v>
      </c>
      <c r="W33" s="37">
        <f t="shared" si="25"/>
        <v>68816.00000000001</v>
      </c>
      <c r="X33" s="37">
        <f t="shared" si="25"/>
        <v>84332.66666666666</v>
      </c>
      <c r="Y33" s="37">
        <f t="shared" si="25"/>
        <v>83532.66666666666</v>
      </c>
      <c r="Z33" s="37">
        <f t="shared" si="25"/>
        <v>83532.66666666666</v>
      </c>
      <c r="AA33" s="128">
        <f t="shared" si="25"/>
        <v>83532.66666666666</v>
      </c>
      <c r="AB33" s="131">
        <f t="shared" si="16"/>
        <v>845158.6666666664</v>
      </c>
      <c r="AC33" s="34">
        <f>AC26+AC32</f>
        <v>990819.7599999999</v>
      </c>
      <c r="AD33" s="34">
        <f>AD26+AD32</f>
        <v>1359473.248</v>
      </c>
      <c r="AE33" s="34">
        <f>AE26+AE32</f>
        <v>1412795.4596000002</v>
      </c>
    </row>
    <row r="34" spans="4:31" ht="11.25">
      <c r="D34" s="34"/>
      <c r="E34" s="131"/>
      <c r="F34" s="34"/>
      <c r="G34" s="34"/>
      <c r="H34" s="34"/>
      <c r="I34" s="34"/>
      <c r="J34" s="34"/>
      <c r="K34" s="34"/>
      <c r="L34" s="34"/>
      <c r="M34" s="34"/>
      <c r="N34" s="34"/>
      <c r="O34" s="118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131"/>
      <c r="AC34" s="34"/>
      <c r="AD34" s="34"/>
      <c r="AE34" s="34"/>
    </row>
    <row r="35" spans="4:31" ht="11.25">
      <c r="D35" s="30"/>
      <c r="E35" s="139"/>
      <c r="F35" s="30"/>
      <c r="G35" s="30"/>
      <c r="H35" s="30"/>
      <c r="I35" s="30"/>
      <c r="J35" s="30"/>
      <c r="K35" s="30"/>
      <c r="L35" s="30"/>
      <c r="M35" s="30"/>
      <c r="N35" s="30"/>
      <c r="O35" s="141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139"/>
      <c r="AC35" s="54"/>
      <c r="AD35" s="54"/>
      <c r="AE35" s="54"/>
    </row>
    <row r="36" spans="1:28" ht="11.25">
      <c r="A36" s="31" t="s">
        <v>9</v>
      </c>
      <c r="E36" s="55"/>
      <c r="O36" s="121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5"/>
    </row>
    <row r="37" spans="2:31" ht="11.25">
      <c r="B37" s="29" t="s">
        <v>71</v>
      </c>
      <c r="E37" s="131">
        <f>Headcount!E42</f>
        <v>5</v>
      </c>
      <c r="F37" s="37">
        <f>Headcount!F42</f>
        <v>6</v>
      </c>
      <c r="G37" s="37">
        <f>Headcount!G42</f>
        <v>6</v>
      </c>
      <c r="H37" s="37">
        <f>Headcount!H42</f>
        <v>6</v>
      </c>
      <c r="I37" s="37">
        <f>Headcount!I42</f>
        <v>6</v>
      </c>
      <c r="J37" s="37">
        <f>Headcount!J42</f>
        <v>6</v>
      </c>
      <c r="K37" s="37">
        <f>Headcount!K42</f>
        <v>6</v>
      </c>
      <c r="L37" s="37">
        <f>Headcount!L42</f>
        <v>6</v>
      </c>
      <c r="M37" s="37">
        <f>Headcount!M42</f>
        <v>6</v>
      </c>
      <c r="N37" s="128">
        <f>Headcount!N42</f>
        <v>6</v>
      </c>
      <c r="O37" s="118">
        <f>Headcount!O42</f>
        <v>6</v>
      </c>
      <c r="P37" s="131">
        <f>Headcount!P42</f>
        <v>6</v>
      </c>
      <c r="Q37" s="37">
        <f>Headcount!Q42</f>
        <v>6</v>
      </c>
      <c r="R37" s="37">
        <f>Headcount!R42</f>
        <v>6</v>
      </c>
      <c r="S37" s="37">
        <f>Headcount!S42</f>
        <v>6</v>
      </c>
      <c r="T37" s="37">
        <f>Headcount!T42</f>
        <v>6</v>
      </c>
      <c r="U37" s="37">
        <f>Headcount!U42</f>
        <v>6</v>
      </c>
      <c r="V37" s="37">
        <f>Headcount!V42</f>
        <v>7</v>
      </c>
      <c r="W37" s="37">
        <f>Headcount!W42</f>
        <v>7</v>
      </c>
      <c r="X37" s="37">
        <f>Headcount!X42</f>
        <v>7</v>
      </c>
      <c r="Y37" s="37">
        <f>Headcount!Y42</f>
        <v>8</v>
      </c>
      <c r="Z37" s="37">
        <f>Headcount!Z42</f>
        <v>9</v>
      </c>
      <c r="AA37" s="128">
        <f>Headcount!AA42</f>
        <v>9</v>
      </c>
      <c r="AB37" s="131">
        <f>Headcount!AB42</f>
        <v>9</v>
      </c>
      <c r="AC37" s="34">
        <f>Headcount!AC42</f>
        <v>11</v>
      </c>
      <c r="AD37" s="34">
        <f>Headcount!AD42</f>
        <v>11</v>
      </c>
      <c r="AE37" s="34">
        <f>Headcount!AE42</f>
        <v>11</v>
      </c>
    </row>
    <row r="38" spans="2:31" ht="11.25">
      <c r="B38" s="29" t="s">
        <v>72</v>
      </c>
      <c r="E38" s="55"/>
      <c r="O38" s="118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131"/>
      <c r="AC38" s="34"/>
      <c r="AD38" s="34"/>
      <c r="AE38" s="34"/>
    </row>
    <row r="39" spans="3:31" ht="11.25">
      <c r="C39" s="29" t="s">
        <v>73</v>
      </c>
      <c r="E39" s="131">
        <f>Headcount!E77</f>
        <v>47083.333333333336</v>
      </c>
      <c r="F39" s="37">
        <f>Headcount!F77</f>
        <v>54166.66666666667</v>
      </c>
      <c r="G39" s="37">
        <f>Headcount!G77</f>
        <v>54166.66666666667</v>
      </c>
      <c r="H39" s="37">
        <f>Headcount!H77</f>
        <v>54166.66666666667</v>
      </c>
      <c r="I39" s="37">
        <f>Headcount!I77</f>
        <v>65000.00000000001</v>
      </c>
      <c r="J39" s="37">
        <f>Headcount!J77</f>
        <v>65000.00000000001</v>
      </c>
      <c r="K39" s="37">
        <f>Headcount!K77</f>
        <v>65000.00000000001</v>
      </c>
      <c r="L39" s="37">
        <f>Headcount!L77</f>
        <v>69166.66666666667</v>
      </c>
      <c r="M39" s="37">
        <f>Headcount!M77</f>
        <v>69166.66666666667</v>
      </c>
      <c r="N39" s="128">
        <f>Headcount!N77</f>
        <v>69166.66666666667</v>
      </c>
      <c r="O39" s="118">
        <f>SUM(E39:N39)</f>
        <v>612083.3333333334</v>
      </c>
      <c r="P39" s="131">
        <f>Headcount!P77</f>
        <v>71241.66666666667</v>
      </c>
      <c r="Q39" s="37">
        <f>Headcount!Q77</f>
        <v>71241.66666666667</v>
      </c>
      <c r="R39" s="37">
        <f>Headcount!R77</f>
        <v>71241.66666666667</v>
      </c>
      <c r="S39" s="37">
        <f>Headcount!S77</f>
        <v>71241.66666666667</v>
      </c>
      <c r="T39" s="37">
        <f>Headcount!T77</f>
        <v>71241.66666666667</v>
      </c>
      <c r="U39" s="37">
        <f>Headcount!U77</f>
        <v>71241.66666666667</v>
      </c>
      <c r="V39" s="37">
        <f>Headcount!V77</f>
        <v>78325</v>
      </c>
      <c r="W39" s="37">
        <f>Headcount!W77</f>
        <v>78325</v>
      </c>
      <c r="X39" s="37">
        <f>Headcount!X77</f>
        <v>78325</v>
      </c>
      <c r="Y39" s="37">
        <f>Headcount!Y77</f>
        <v>85408.33333333334</v>
      </c>
      <c r="Z39" s="37">
        <f>Headcount!Z77</f>
        <v>92491.66666666667</v>
      </c>
      <c r="AA39" s="128">
        <f>Headcount!AA77</f>
        <v>92491.66666666667</v>
      </c>
      <c r="AB39" s="131">
        <f>SUM(P39:AA39)</f>
        <v>932816.6666666666</v>
      </c>
      <c r="AC39" s="34">
        <f>Headcount!AC77</f>
        <v>1149457.5</v>
      </c>
      <c r="AD39" s="34">
        <f>Headcount!AD77</f>
        <v>1206930.375</v>
      </c>
      <c r="AE39" s="34">
        <f>Headcount!AE77</f>
        <v>1267276.89375</v>
      </c>
    </row>
    <row r="40" spans="3:31" ht="11.25">
      <c r="C40" s="29" t="s">
        <v>74</v>
      </c>
      <c r="D40" s="29">
        <v>0.08</v>
      </c>
      <c r="E40" s="131">
        <f aca="true" t="shared" si="26" ref="E40:N40">$D40*E39</f>
        <v>3766.666666666667</v>
      </c>
      <c r="F40" s="37">
        <f t="shared" si="26"/>
        <v>4333.333333333334</v>
      </c>
      <c r="G40" s="37">
        <f t="shared" si="26"/>
        <v>4333.333333333334</v>
      </c>
      <c r="H40" s="37">
        <f t="shared" si="26"/>
        <v>4333.333333333334</v>
      </c>
      <c r="I40" s="37">
        <f t="shared" si="26"/>
        <v>5200.000000000001</v>
      </c>
      <c r="J40" s="37">
        <f t="shared" si="26"/>
        <v>5200.000000000001</v>
      </c>
      <c r="K40" s="37">
        <f t="shared" si="26"/>
        <v>5200.000000000001</v>
      </c>
      <c r="L40" s="37">
        <f t="shared" si="26"/>
        <v>5533.333333333334</v>
      </c>
      <c r="M40" s="37">
        <f t="shared" si="26"/>
        <v>5533.333333333334</v>
      </c>
      <c r="N40" s="37">
        <f t="shared" si="26"/>
        <v>5533.333333333334</v>
      </c>
      <c r="O40" s="118">
        <f>SUM(E40:N40)</f>
        <v>48966.66666666668</v>
      </c>
      <c r="P40" s="131">
        <f aca="true" t="shared" si="27" ref="P40:AA40">$D40*P39</f>
        <v>5699.333333333334</v>
      </c>
      <c r="Q40" s="37">
        <f t="shared" si="27"/>
        <v>5699.333333333334</v>
      </c>
      <c r="R40" s="37">
        <f t="shared" si="27"/>
        <v>5699.333333333334</v>
      </c>
      <c r="S40" s="37">
        <f t="shared" si="27"/>
        <v>5699.333333333334</v>
      </c>
      <c r="T40" s="37">
        <f t="shared" si="27"/>
        <v>5699.333333333334</v>
      </c>
      <c r="U40" s="37">
        <f t="shared" si="27"/>
        <v>5699.333333333334</v>
      </c>
      <c r="V40" s="37">
        <f t="shared" si="27"/>
        <v>6266</v>
      </c>
      <c r="W40" s="37">
        <f t="shared" si="27"/>
        <v>6266</v>
      </c>
      <c r="X40" s="37">
        <f t="shared" si="27"/>
        <v>6266</v>
      </c>
      <c r="Y40" s="37">
        <f t="shared" si="27"/>
        <v>6832.666666666668</v>
      </c>
      <c r="Z40" s="37">
        <f t="shared" si="27"/>
        <v>7399.333333333334</v>
      </c>
      <c r="AA40" s="37">
        <f t="shared" si="27"/>
        <v>7399.333333333334</v>
      </c>
      <c r="AB40" s="131">
        <f aca="true" t="shared" si="28" ref="AB40:AB49">SUM(P40:AA40)</f>
        <v>74625.33333333333</v>
      </c>
      <c r="AC40" s="34">
        <f>$D40*AC39</f>
        <v>91956.6</v>
      </c>
      <c r="AD40" s="34">
        <f>$D40*AD39</f>
        <v>96554.43000000001</v>
      </c>
      <c r="AE40" s="34">
        <f>$D40*AE39</f>
        <v>101382.1515</v>
      </c>
    </row>
    <row r="41" spans="3:31" ht="12" thickBot="1">
      <c r="C41" s="29" t="s">
        <v>75</v>
      </c>
      <c r="D41" s="53">
        <v>0.08</v>
      </c>
      <c r="E41" s="116">
        <f aca="true" t="shared" si="29" ref="E41:N41">$D41*E39</f>
        <v>3766.666666666667</v>
      </c>
      <c r="F41" s="35">
        <f t="shared" si="29"/>
        <v>4333.333333333334</v>
      </c>
      <c r="G41" s="35">
        <f t="shared" si="29"/>
        <v>4333.333333333334</v>
      </c>
      <c r="H41" s="35">
        <f t="shared" si="29"/>
        <v>4333.333333333334</v>
      </c>
      <c r="I41" s="35">
        <f t="shared" si="29"/>
        <v>5200.000000000001</v>
      </c>
      <c r="J41" s="35">
        <f t="shared" si="29"/>
        <v>5200.000000000001</v>
      </c>
      <c r="K41" s="35">
        <f t="shared" si="29"/>
        <v>5200.000000000001</v>
      </c>
      <c r="L41" s="35">
        <f t="shared" si="29"/>
        <v>5533.333333333334</v>
      </c>
      <c r="M41" s="35">
        <f t="shared" si="29"/>
        <v>5533.333333333334</v>
      </c>
      <c r="N41" s="35">
        <f t="shared" si="29"/>
        <v>5533.333333333334</v>
      </c>
      <c r="O41" s="120">
        <f>SUM(E41:N41)</f>
        <v>48966.66666666668</v>
      </c>
      <c r="P41" s="116">
        <f aca="true" t="shared" si="30" ref="P41:AA41">$D41*P39</f>
        <v>5699.333333333334</v>
      </c>
      <c r="Q41" s="35">
        <f t="shared" si="30"/>
        <v>5699.333333333334</v>
      </c>
      <c r="R41" s="35">
        <f t="shared" si="30"/>
        <v>5699.333333333334</v>
      </c>
      <c r="S41" s="35">
        <f t="shared" si="30"/>
        <v>5699.333333333334</v>
      </c>
      <c r="T41" s="35">
        <f t="shared" si="30"/>
        <v>5699.333333333334</v>
      </c>
      <c r="U41" s="35">
        <f t="shared" si="30"/>
        <v>5699.333333333334</v>
      </c>
      <c r="V41" s="35">
        <f t="shared" si="30"/>
        <v>6266</v>
      </c>
      <c r="W41" s="35">
        <f t="shared" si="30"/>
        <v>6266</v>
      </c>
      <c r="X41" s="35">
        <f t="shared" si="30"/>
        <v>6266</v>
      </c>
      <c r="Y41" s="35">
        <f t="shared" si="30"/>
        <v>6832.666666666668</v>
      </c>
      <c r="Z41" s="35">
        <f t="shared" si="30"/>
        <v>7399.333333333334</v>
      </c>
      <c r="AA41" s="35">
        <f t="shared" si="30"/>
        <v>7399.333333333334</v>
      </c>
      <c r="AB41" s="116">
        <f t="shared" si="28"/>
        <v>74625.33333333333</v>
      </c>
      <c r="AC41" s="35">
        <f>$D41*AC39</f>
        <v>91956.6</v>
      </c>
      <c r="AD41" s="35">
        <f>$D41*AD39</f>
        <v>96554.43000000001</v>
      </c>
      <c r="AE41" s="35">
        <f>$D41*AE39</f>
        <v>101382.1515</v>
      </c>
    </row>
    <row r="42" spans="2:31" ht="11.25">
      <c r="B42" s="29" t="s">
        <v>76</v>
      </c>
      <c r="E42" s="131">
        <f>SUM(E39:E41)</f>
        <v>54616.666666666664</v>
      </c>
      <c r="F42" s="37">
        <f aca="true" t="shared" si="31" ref="F42:N42">SUM(F39:F41)</f>
        <v>62833.33333333334</v>
      </c>
      <c r="G42" s="37">
        <f t="shared" si="31"/>
        <v>62833.33333333334</v>
      </c>
      <c r="H42" s="37">
        <f t="shared" si="31"/>
        <v>62833.33333333334</v>
      </c>
      <c r="I42" s="37">
        <f t="shared" si="31"/>
        <v>75400.00000000001</v>
      </c>
      <c r="J42" s="37">
        <f t="shared" si="31"/>
        <v>75400.00000000001</v>
      </c>
      <c r="K42" s="37">
        <f t="shared" si="31"/>
        <v>75400.00000000001</v>
      </c>
      <c r="L42" s="37">
        <f t="shared" si="31"/>
        <v>80233.33333333333</v>
      </c>
      <c r="M42" s="37">
        <f t="shared" si="31"/>
        <v>80233.33333333333</v>
      </c>
      <c r="N42" s="37">
        <f t="shared" si="31"/>
        <v>80233.33333333333</v>
      </c>
      <c r="O42" s="118">
        <f>SUM(E42:N42)</f>
        <v>710016.6666666667</v>
      </c>
      <c r="P42" s="131">
        <f aca="true" t="shared" si="32" ref="P42:AA42">SUM(P39:P41)</f>
        <v>82640.33333333333</v>
      </c>
      <c r="Q42" s="37">
        <f t="shared" si="32"/>
        <v>82640.33333333333</v>
      </c>
      <c r="R42" s="37">
        <f t="shared" si="32"/>
        <v>82640.33333333333</v>
      </c>
      <c r="S42" s="37">
        <f t="shared" si="32"/>
        <v>82640.33333333333</v>
      </c>
      <c r="T42" s="37">
        <f t="shared" si="32"/>
        <v>82640.33333333333</v>
      </c>
      <c r="U42" s="37">
        <f t="shared" si="32"/>
        <v>82640.33333333333</v>
      </c>
      <c r="V42" s="37">
        <f t="shared" si="32"/>
        <v>90857</v>
      </c>
      <c r="W42" s="37">
        <f t="shared" si="32"/>
        <v>90857</v>
      </c>
      <c r="X42" s="37">
        <f t="shared" si="32"/>
        <v>90857</v>
      </c>
      <c r="Y42" s="37">
        <f t="shared" si="32"/>
        <v>99073.66666666669</v>
      </c>
      <c r="Z42" s="37">
        <f t="shared" si="32"/>
        <v>107290.33333333333</v>
      </c>
      <c r="AA42" s="37">
        <f t="shared" si="32"/>
        <v>107290.33333333333</v>
      </c>
      <c r="AB42" s="131">
        <f t="shared" si="28"/>
        <v>1082067.3333333335</v>
      </c>
      <c r="AC42" s="34">
        <f>SUM(AC39:AC41)</f>
        <v>1333370.7000000002</v>
      </c>
      <c r="AD42" s="34">
        <f>SUM(AD39:AD41)</f>
        <v>1400039.2349999999</v>
      </c>
      <c r="AE42" s="34">
        <f>SUM(AE39:AE41)</f>
        <v>1470041.19675</v>
      </c>
    </row>
    <row r="43" spans="5:31" ht="11.25">
      <c r="E43" s="55"/>
      <c r="O43" s="118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131">
        <f t="shared" si="28"/>
        <v>0</v>
      </c>
      <c r="AC43" s="34"/>
      <c r="AD43" s="34"/>
      <c r="AE43" s="34"/>
    </row>
    <row r="44" spans="2:31" ht="11.25">
      <c r="B44" s="29" t="s">
        <v>141</v>
      </c>
      <c r="D44" s="34">
        <v>1500</v>
      </c>
      <c r="E44" s="131">
        <f>IF(E37-D37&gt;0,$D44*(E37-D37),0)</f>
        <v>7500</v>
      </c>
      <c r="F44" s="37">
        <f aca="true" t="shared" si="33" ref="F44:N44">IF(F37-E37&gt;0,$D44*(F37-E37),0)</f>
        <v>1500</v>
      </c>
      <c r="G44" s="37">
        <f t="shared" si="33"/>
        <v>0</v>
      </c>
      <c r="H44" s="37">
        <f t="shared" si="33"/>
        <v>0</v>
      </c>
      <c r="I44" s="37">
        <f t="shared" si="33"/>
        <v>0</v>
      </c>
      <c r="J44" s="37">
        <f t="shared" si="33"/>
        <v>0</v>
      </c>
      <c r="K44" s="37">
        <f t="shared" si="33"/>
        <v>0</v>
      </c>
      <c r="L44" s="37">
        <f t="shared" si="33"/>
        <v>0</v>
      </c>
      <c r="M44" s="37">
        <f t="shared" si="33"/>
        <v>0</v>
      </c>
      <c r="N44" s="37">
        <f t="shared" si="33"/>
        <v>0</v>
      </c>
      <c r="O44" s="118">
        <f aca="true" t="shared" si="34" ref="O44:O49">SUM(E44:N44)</f>
        <v>9000</v>
      </c>
      <c r="P44" s="37">
        <f aca="true" t="shared" si="35" ref="P44:AA44">IF(P37-O37&gt;0,$D44*(P37-O37),0)</f>
        <v>0</v>
      </c>
      <c r="Q44" s="37">
        <f t="shared" si="35"/>
        <v>0</v>
      </c>
      <c r="R44" s="37">
        <f t="shared" si="35"/>
        <v>0</v>
      </c>
      <c r="S44" s="37">
        <f t="shared" si="35"/>
        <v>0</v>
      </c>
      <c r="T44" s="37">
        <f t="shared" si="35"/>
        <v>0</v>
      </c>
      <c r="U44" s="37">
        <f t="shared" si="35"/>
        <v>0</v>
      </c>
      <c r="V44" s="37">
        <f t="shared" si="35"/>
        <v>1500</v>
      </c>
      <c r="W44" s="37">
        <f t="shared" si="35"/>
        <v>0</v>
      </c>
      <c r="X44" s="37">
        <f t="shared" si="35"/>
        <v>0</v>
      </c>
      <c r="Y44" s="37">
        <f t="shared" si="35"/>
        <v>1500</v>
      </c>
      <c r="Z44" s="37">
        <f t="shared" si="35"/>
        <v>1500</v>
      </c>
      <c r="AA44" s="37">
        <f t="shared" si="35"/>
        <v>0</v>
      </c>
      <c r="AB44" s="131">
        <f t="shared" si="28"/>
        <v>4500</v>
      </c>
      <c r="AC44" s="37">
        <f>IF(AC37-AB37&gt;0,$D44*(AC37-AB37),0)</f>
        <v>3000</v>
      </c>
      <c r="AD44" s="37">
        <f>AD37*D44</f>
        <v>16500</v>
      </c>
      <c r="AE44" s="37">
        <f>IF(AE37-AD37&gt;0,$D44*(AE37-AD37),0)</f>
        <v>0</v>
      </c>
    </row>
    <row r="45" spans="2:31" ht="11.25">
      <c r="B45" s="29" t="s">
        <v>78</v>
      </c>
      <c r="D45" s="34">
        <v>1000</v>
      </c>
      <c r="E45" s="131">
        <f>E37*1000/12</f>
        <v>416.6666666666667</v>
      </c>
      <c r="F45" s="37">
        <f aca="true" t="shared" si="36" ref="F45:AA45">F37*1000/12</f>
        <v>500</v>
      </c>
      <c r="G45" s="37">
        <f t="shared" si="36"/>
        <v>500</v>
      </c>
      <c r="H45" s="37">
        <f t="shared" si="36"/>
        <v>500</v>
      </c>
      <c r="I45" s="37">
        <f t="shared" si="36"/>
        <v>500</v>
      </c>
      <c r="J45" s="37">
        <f t="shared" si="36"/>
        <v>500</v>
      </c>
      <c r="K45" s="37">
        <f t="shared" si="36"/>
        <v>500</v>
      </c>
      <c r="L45" s="37">
        <f t="shared" si="36"/>
        <v>500</v>
      </c>
      <c r="M45" s="37">
        <f t="shared" si="36"/>
        <v>500</v>
      </c>
      <c r="N45" s="37">
        <f t="shared" si="36"/>
        <v>500</v>
      </c>
      <c r="O45" s="118">
        <f t="shared" si="34"/>
        <v>4916.666666666667</v>
      </c>
      <c r="P45" s="131">
        <f t="shared" si="36"/>
        <v>500</v>
      </c>
      <c r="Q45" s="37">
        <f t="shared" si="36"/>
        <v>500</v>
      </c>
      <c r="R45" s="37">
        <f t="shared" si="36"/>
        <v>500</v>
      </c>
      <c r="S45" s="37">
        <f t="shared" si="36"/>
        <v>500</v>
      </c>
      <c r="T45" s="37">
        <f t="shared" si="36"/>
        <v>500</v>
      </c>
      <c r="U45" s="37">
        <f t="shared" si="36"/>
        <v>500</v>
      </c>
      <c r="V45" s="37">
        <f t="shared" si="36"/>
        <v>583.3333333333334</v>
      </c>
      <c r="W45" s="37">
        <f t="shared" si="36"/>
        <v>583.3333333333334</v>
      </c>
      <c r="X45" s="37">
        <f t="shared" si="36"/>
        <v>583.3333333333334</v>
      </c>
      <c r="Y45" s="37">
        <f t="shared" si="36"/>
        <v>666.6666666666666</v>
      </c>
      <c r="Z45" s="37">
        <f t="shared" si="36"/>
        <v>750</v>
      </c>
      <c r="AA45" s="37">
        <f t="shared" si="36"/>
        <v>750</v>
      </c>
      <c r="AB45" s="131">
        <f t="shared" si="28"/>
        <v>6916.666666666667</v>
      </c>
      <c r="AC45" s="34">
        <f aca="true" t="shared" si="37" ref="AC45:AE47">AC$37*$D45</f>
        <v>11000</v>
      </c>
      <c r="AD45" s="34">
        <f t="shared" si="37"/>
        <v>11000</v>
      </c>
      <c r="AE45" s="34">
        <f t="shared" si="37"/>
        <v>11000</v>
      </c>
    </row>
    <row r="46" spans="2:31" ht="11.25">
      <c r="B46" s="29" t="s">
        <v>79</v>
      </c>
      <c r="D46" s="34">
        <v>300</v>
      </c>
      <c r="E46" s="131">
        <f>$D46*E$5/12</f>
        <v>50</v>
      </c>
      <c r="F46" s="37">
        <f aca="true" t="shared" si="38" ref="F46:AA47">$D46*F$5/12</f>
        <v>50</v>
      </c>
      <c r="G46" s="37">
        <f t="shared" si="38"/>
        <v>100</v>
      </c>
      <c r="H46" s="37">
        <f t="shared" si="38"/>
        <v>100</v>
      </c>
      <c r="I46" s="37">
        <f t="shared" si="38"/>
        <v>100</v>
      </c>
      <c r="J46" s="37">
        <f t="shared" si="38"/>
        <v>100</v>
      </c>
      <c r="K46" s="37">
        <f t="shared" si="38"/>
        <v>100</v>
      </c>
      <c r="L46" s="37">
        <f t="shared" si="38"/>
        <v>100</v>
      </c>
      <c r="M46" s="37">
        <f t="shared" si="38"/>
        <v>100</v>
      </c>
      <c r="N46" s="37">
        <f t="shared" si="38"/>
        <v>100</v>
      </c>
      <c r="O46" s="118">
        <f t="shared" si="34"/>
        <v>900</v>
      </c>
      <c r="P46" s="37">
        <f t="shared" si="38"/>
        <v>125</v>
      </c>
      <c r="Q46" s="37">
        <f t="shared" si="38"/>
        <v>125</v>
      </c>
      <c r="R46" s="37">
        <f t="shared" si="38"/>
        <v>125</v>
      </c>
      <c r="S46" s="37">
        <f t="shared" si="38"/>
        <v>125</v>
      </c>
      <c r="T46" s="37">
        <f t="shared" si="38"/>
        <v>125</v>
      </c>
      <c r="U46" s="37">
        <f t="shared" si="38"/>
        <v>125</v>
      </c>
      <c r="V46" s="37">
        <f t="shared" si="38"/>
        <v>150</v>
      </c>
      <c r="W46" s="37">
        <f t="shared" si="38"/>
        <v>150</v>
      </c>
      <c r="X46" s="37">
        <f t="shared" si="38"/>
        <v>175</v>
      </c>
      <c r="Y46" s="37">
        <f t="shared" si="38"/>
        <v>175</v>
      </c>
      <c r="Z46" s="37">
        <f t="shared" si="38"/>
        <v>175</v>
      </c>
      <c r="AA46" s="37">
        <f t="shared" si="38"/>
        <v>175</v>
      </c>
      <c r="AB46" s="131">
        <f t="shared" si="28"/>
        <v>1750</v>
      </c>
      <c r="AC46" s="34">
        <f t="shared" si="37"/>
        <v>3300</v>
      </c>
      <c r="AD46" s="34">
        <f t="shared" si="37"/>
        <v>3300</v>
      </c>
      <c r="AE46" s="34">
        <f t="shared" si="37"/>
        <v>3300</v>
      </c>
    </row>
    <row r="47" spans="2:31" ht="12" thickBot="1">
      <c r="B47" s="29" t="s">
        <v>142</v>
      </c>
      <c r="D47" s="34">
        <v>200</v>
      </c>
      <c r="E47" s="116">
        <f>$D47*E$5/12</f>
        <v>33.333333333333336</v>
      </c>
      <c r="F47" s="35">
        <f t="shared" si="38"/>
        <v>33.333333333333336</v>
      </c>
      <c r="G47" s="35">
        <f t="shared" si="38"/>
        <v>66.66666666666667</v>
      </c>
      <c r="H47" s="35">
        <f t="shared" si="38"/>
        <v>66.66666666666667</v>
      </c>
      <c r="I47" s="35">
        <f t="shared" si="38"/>
        <v>66.66666666666667</v>
      </c>
      <c r="J47" s="35">
        <f t="shared" si="38"/>
        <v>66.66666666666667</v>
      </c>
      <c r="K47" s="35">
        <f t="shared" si="38"/>
        <v>66.66666666666667</v>
      </c>
      <c r="L47" s="35">
        <f t="shared" si="38"/>
        <v>66.66666666666667</v>
      </c>
      <c r="M47" s="35">
        <f t="shared" si="38"/>
        <v>66.66666666666667</v>
      </c>
      <c r="N47" s="35">
        <f t="shared" si="38"/>
        <v>66.66666666666667</v>
      </c>
      <c r="O47" s="120">
        <f t="shared" si="34"/>
        <v>600</v>
      </c>
      <c r="P47" s="116">
        <f t="shared" si="38"/>
        <v>83.33333333333333</v>
      </c>
      <c r="Q47" s="35">
        <f t="shared" si="38"/>
        <v>83.33333333333333</v>
      </c>
      <c r="R47" s="35">
        <f t="shared" si="38"/>
        <v>83.33333333333333</v>
      </c>
      <c r="S47" s="35">
        <f t="shared" si="38"/>
        <v>83.33333333333333</v>
      </c>
      <c r="T47" s="35">
        <f t="shared" si="38"/>
        <v>83.33333333333333</v>
      </c>
      <c r="U47" s="35">
        <f t="shared" si="38"/>
        <v>83.33333333333333</v>
      </c>
      <c r="V47" s="35">
        <f t="shared" si="38"/>
        <v>100</v>
      </c>
      <c r="W47" s="35">
        <f t="shared" si="38"/>
        <v>100</v>
      </c>
      <c r="X47" s="35">
        <f t="shared" si="38"/>
        <v>116.66666666666667</v>
      </c>
      <c r="Y47" s="35">
        <f t="shared" si="38"/>
        <v>116.66666666666667</v>
      </c>
      <c r="Z47" s="35">
        <f t="shared" si="38"/>
        <v>116.66666666666667</v>
      </c>
      <c r="AA47" s="137">
        <f t="shared" si="38"/>
        <v>116.66666666666667</v>
      </c>
      <c r="AB47" s="116">
        <f t="shared" si="28"/>
        <v>1166.6666666666667</v>
      </c>
      <c r="AC47" s="34">
        <f t="shared" si="37"/>
        <v>2200</v>
      </c>
      <c r="AD47" s="34">
        <f t="shared" si="37"/>
        <v>2200</v>
      </c>
      <c r="AE47" s="34">
        <f t="shared" si="37"/>
        <v>2200</v>
      </c>
    </row>
    <row r="48" spans="2:31" ht="12" thickBot="1">
      <c r="B48" s="29" t="s">
        <v>80</v>
      </c>
      <c r="D48" s="34"/>
      <c r="E48" s="136">
        <f>SUM(E44:E47)</f>
        <v>8000</v>
      </c>
      <c r="F48" s="66">
        <f aca="true" t="shared" si="39" ref="F48:N48">SUM(F44:F47)</f>
        <v>2083.3333333333335</v>
      </c>
      <c r="G48" s="66">
        <f t="shared" si="39"/>
        <v>666.6666666666666</v>
      </c>
      <c r="H48" s="66">
        <f t="shared" si="39"/>
        <v>666.6666666666666</v>
      </c>
      <c r="I48" s="66">
        <f t="shared" si="39"/>
        <v>666.6666666666666</v>
      </c>
      <c r="J48" s="66">
        <f t="shared" si="39"/>
        <v>666.6666666666666</v>
      </c>
      <c r="K48" s="66">
        <f t="shared" si="39"/>
        <v>666.6666666666666</v>
      </c>
      <c r="L48" s="66">
        <f t="shared" si="39"/>
        <v>666.6666666666666</v>
      </c>
      <c r="M48" s="66">
        <f t="shared" si="39"/>
        <v>666.6666666666666</v>
      </c>
      <c r="N48" s="66">
        <f t="shared" si="39"/>
        <v>666.6666666666666</v>
      </c>
      <c r="O48" s="135">
        <f t="shared" si="34"/>
        <v>15416.666666666662</v>
      </c>
      <c r="P48" s="136">
        <f aca="true" t="shared" si="40" ref="P48:AA48">SUM(P44:P47)</f>
        <v>708.3333333333334</v>
      </c>
      <c r="Q48" s="66">
        <f t="shared" si="40"/>
        <v>708.3333333333334</v>
      </c>
      <c r="R48" s="66">
        <f t="shared" si="40"/>
        <v>708.3333333333334</v>
      </c>
      <c r="S48" s="66">
        <f t="shared" si="40"/>
        <v>708.3333333333334</v>
      </c>
      <c r="T48" s="66">
        <f t="shared" si="40"/>
        <v>708.3333333333334</v>
      </c>
      <c r="U48" s="66">
        <f t="shared" si="40"/>
        <v>708.3333333333334</v>
      </c>
      <c r="V48" s="66">
        <f t="shared" si="40"/>
        <v>2333.3333333333335</v>
      </c>
      <c r="W48" s="66">
        <f t="shared" si="40"/>
        <v>833.3333333333334</v>
      </c>
      <c r="X48" s="66">
        <f t="shared" si="40"/>
        <v>875</v>
      </c>
      <c r="Y48" s="66">
        <f t="shared" si="40"/>
        <v>2458.333333333333</v>
      </c>
      <c r="Z48" s="66">
        <f t="shared" si="40"/>
        <v>2541.6666666666665</v>
      </c>
      <c r="AA48" s="66">
        <f t="shared" si="40"/>
        <v>1041.6666666666667</v>
      </c>
      <c r="AB48" s="136">
        <f t="shared" si="28"/>
        <v>14333.333333333332</v>
      </c>
      <c r="AC48" s="66">
        <f>SUM(AC44:AC47)</f>
        <v>19500</v>
      </c>
      <c r="AD48" s="66">
        <f>SUM(AD44:AD47)</f>
        <v>33000</v>
      </c>
      <c r="AE48" s="66">
        <f>SUM(AE44:AE47)</f>
        <v>16500</v>
      </c>
    </row>
    <row r="49" spans="2:31" ht="11.25">
      <c r="B49" s="29" t="s">
        <v>81</v>
      </c>
      <c r="D49" s="34"/>
      <c r="E49" s="131">
        <f>E42+E48</f>
        <v>62616.666666666664</v>
      </c>
      <c r="F49" s="37">
        <f aca="true" t="shared" si="41" ref="F49:N49">F42+F48</f>
        <v>64916.66666666668</v>
      </c>
      <c r="G49" s="37">
        <f t="shared" si="41"/>
        <v>63500.00000000001</v>
      </c>
      <c r="H49" s="37">
        <f t="shared" si="41"/>
        <v>63500.00000000001</v>
      </c>
      <c r="I49" s="37">
        <f t="shared" si="41"/>
        <v>76066.66666666669</v>
      </c>
      <c r="J49" s="37">
        <f t="shared" si="41"/>
        <v>76066.66666666669</v>
      </c>
      <c r="K49" s="37">
        <f t="shared" si="41"/>
        <v>76066.66666666669</v>
      </c>
      <c r="L49" s="37">
        <f t="shared" si="41"/>
        <v>80900</v>
      </c>
      <c r="M49" s="37">
        <f t="shared" si="41"/>
        <v>80900</v>
      </c>
      <c r="N49" s="37">
        <f t="shared" si="41"/>
        <v>80900</v>
      </c>
      <c r="O49" s="118">
        <f t="shared" si="34"/>
        <v>725433.3333333334</v>
      </c>
      <c r="P49" s="131">
        <f aca="true" t="shared" si="42" ref="P49:AA49">P42+P48</f>
        <v>83348.66666666666</v>
      </c>
      <c r="Q49" s="37">
        <f t="shared" si="42"/>
        <v>83348.66666666666</v>
      </c>
      <c r="R49" s="37">
        <f t="shared" si="42"/>
        <v>83348.66666666666</v>
      </c>
      <c r="S49" s="37">
        <f t="shared" si="42"/>
        <v>83348.66666666666</v>
      </c>
      <c r="T49" s="37">
        <f t="shared" si="42"/>
        <v>83348.66666666666</v>
      </c>
      <c r="U49" s="37">
        <f t="shared" si="42"/>
        <v>83348.66666666666</v>
      </c>
      <c r="V49" s="37">
        <f t="shared" si="42"/>
        <v>93190.33333333333</v>
      </c>
      <c r="W49" s="37">
        <f t="shared" si="42"/>
        <v>91690.33333333333</v>
      </c>
      <c r="X49" s="37">
        <f t="shared" si="42"/>
        <v>91732</v>
      </c>
      <c r="Y49" s="37">
        <f t="shared" si="42"/>
        <v>101532.00000000001</v>
      </c>
      <c r="Z49" s="37">
        <f t="shared" si="42"/>
        <v>109832</v>
      </c>
      <c r="AA49" s="37">
        <f t="shared" si="42"/>
        <v>108332</v>
      </c>
      <c r="AB49" s="131">
        <f t="shared" si="28"/>
        <v>1096400.6666666665</v>
      </c>
      <c r="AC49" s="34">
        <f>AC42+AC48</f>
        <v>1352870.7000000002</v>
      </c>
      <c r="AD49" s="34">
        <f>AD42+AD48</f>
        <v>1433039.2349999999</v>
      </c>
      <c r="AE49" s="34">
        <f>AE42+AE48</f>
        <v>1486541.19675</v>
      </c>
    </row>
    <row r="50" spans="1:31" ht="11.25">
      <c r="A50" s="68"/>
      <c r="B50" s="68"/>
      <c r="C50" s="68"/>
      <c r="D50" s="68"/>
      <c r="E50" s="147"/>
      <c r="F50" s="68"/>
      <c r="G50" s="68"/>
      <c r="H50" s="68"/>
      <c r="I50" s="68"/>
      <c r="J50" s="68"/>
      <c r="K50" s="68"/>
      <c r="L50" s="68"/>
      <c r="M50" s="68"/>
      <c r="N50" s="68"/>
      <c r="O50" s="142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0"/>
      <c r="AC50" s="69"/>
      <c r="AD50" s="69"/>
      <c r="AE50" s="69"/>
    </row>
    <row r="51" spans="1:28" ht="11.25">
      <c r="A51" s="31" t="s">
        <v>212</v>
      </c>
      <c r="E51" s="55"/>
      <c r="O51" s="121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5"/>
    </row>
    <row r="52" spans="2:31" ht="11.25">
      <c r="B52" s="29" t="s">
        <v>71</v>
      </c>
      <c r="E52" s="131">
        <f>Headcount!E72</f>
        <v>0</v>
      </c>
      <c r="F52" s="37">
        <f>Headcount!F72</f>
        <v>0</v>
      </c>
      <c r="G52" s="37">
        <f>Headcount!G72</f>
        <v>0</v>
      </c>
      <c r="H52" s="37">
        <f>Headcount!H72</f>
        <v>0</v>
      </c>
      <c r="I52" s="37">
        <f>Headcount!I72</f>
        <v>1</v>
      </c>
      <c r="J52" s="37">
        <f>Headcount!J72</f>
        <v>1</v>
      </c>
      <c r="K52" s="37">
        <f>Headcount!K72</f>
        <v>3</v>
      </c>
      <c r="L52" s="37">
        <f>Headcount!L72</f>
        <v>3</v>
      </c>
      <c r="M52" s="37">
        <f>Headcount!M72</f>
        <v>3</v>
      </c>
      <c r="N52" s="128">
        <f>Headcount!N72</f>
        <v>3</v>
      </c>
      <c r="O52" s="118">
        <f>Headcount!O72</f>
        <v>3</v>
      </c>
      <c r="P52" s="131">
        <f>Headcount!P72</f>
        <v>4</v>
      </c>
      <c r="Q52" s="37">
        <f>Headcount!Q72</f>
        <v>4</v>
      </c>
      <c r="R52" s="37">
        <f>Headcount!R72</f>
        <v>4</v>
      </c>
      <c r="S52" s="37">
        <f>Headcount!S72</f>
        <v>5</v>
      </c>
      <c r="T52" s="37">
        <f>Headcount!T72</f>
        <v>5</v>
      </c>
      <c r="U52" s="37">
        <f>Headcount!U72</f>
        <v>5</v>
      </c>
      <c r="V52" s="37">
        <f>Headcount!V72</f>
        <v>5</v>
      </c>
      <c r="W52" s="37">
        <f>Headcount!W72</f>
        <v>5</v>
      </c>
      <c r="X52" s="37">
        <f>Headcount!X72</f>
        <v>6</v>
      </c>
      <c r="Y52" s="37">
        <f>Headcount!Y72</f>
        <v>6</v>
      </c>
      <c r="Z52" s="37">
        <f>Headcount!Z72</f>
        <v>7</v>
      </c>
      <c r="AA52" s="128">
        <f>Headcount!AA72</f>
        <v>7</v>
      </c>
      <c r="AB52" s="131">
        <f>Headcount!AB72</f>
        <v>7</v>
      </c>
      <c r="AC52" s="34">
        <f>Headcount!AC72</f>
        <v>10</v>
      </c>
      <c r="AD52" s="34">
        <f>Headcount!AD72</f>
        <v>13</v>
      </c>
      <c r="AE52" s="34">
        <f>Headcount!AE72</f>
        <v>17</v>
      </c>
    </row>
    <row r="53" spans="2:31" ht="11.25">
      <c r="B53" s="29" t="s">
        <v>72</v>
      </c>
      <c r="E53" s="55"/>
      <c r="F53" s="53"/>
      <c r="G53" s="53"/>
      <c r="H53" s="53"/>
      <c r="I53" s="53"/>
      <c r="J53" s="53"/>
      <c r="K53" s="53"/>
      <c r="L53" s="53"/>
      <c r="M53" s="53"/>
      <c r="O53" s="118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131"/>
      <c r="AC53" s="34"/>
      <c r="AD53" s="34"/>
      <c r="AE53" s="34"/>
    </row>
    <row r="54" spans="3:31" ht="11.25">
      <c r="C54" s="29" t="s">
        <v>73</v>
      </c>
      <c r="E54" s="55"/>
      <c r="F54" s="53"/>
      <c r="G54" s="53"/>
      <c r="H54" s="53"/>
      <c r="I54" s="37">
        <f>Headcount!I71</f>
        <v>10000</v>
      </c>
      <c r="J54" s="37">
        <f>Headcount!J71</f>
        <v>10000</v>
      </c>
      <c r="K54" s="37">
        <f>Headcount!K71</f>
        <v>21250</v>
      </c>
      <c r="L54" s="37">
        <f>Headcount!L71</f>
        <v>21250</v>
      </c>
      <c r="M54" s="37">
        <f>Headcount!M71</f>
        <v>21250</v>
      </c>
      <c r="N54" s="128">
        <f>Headcount!N71</f>
        <v>21250</v>
      </c>
      <c r="O54" s="118">
        <f>SUM(I54:N54)</f>
        <v>105000</v>
      </c>
      <c r="P54" s="131">
        <f>Headcount!P71</f>
        <v>28137.5</v>
      </c>
      <c r="Q54" s="37">
        <f>Headcount!Q71</f>
        <v>28137.5</v>
      </c>
      <c r="R54" s="37">
        <f>Headcount!R71</f>
        <v>28137.5</v>
      </c>
      <c r="S54" s="37">
        <f>Headcount!S71</f>
        <v>33137.5</v>
      </c>
      <c r="T54" s="37">
        <f>Headcount!T71</f>
        <v>33137.5</v>
      </c>
      <c r="U54" s="37">
        <f>Headcount!U71</f>
        <v>33137.5</v>
      </c>
      <c r="V54" s="37">
        <f>Headcount!V71</f>
        <v>33137.5</v>
      </c>
      <c r="W54" s="37">
        <f>Headcount!W71</f>
        <v>33137.5</v>
      </c>
      <c r="X54" s="37">
        <f>Headcount!X71</f>
        <v>38137.5</v>
      </c>
      <c r="Y54" s="37">
        <f>Headcount!Y71</f>
        <v>38137.5</v>
      </c>
      <c r="Z54" s="37">
        <f>Headcount!Z71</f>
        <v>43137.5</v>
      </c>
      <c r="AA54" s="128">
        <f>Headcount!AA71</f>
        <v>43137.5</v>
      </c>
      <c r="AB54" s="131">
        <f>SUM(P54:AA54)</f>
        <v>412650</v>
      </c>
      <c r="AC54" s="34">
        <f>Headcount!AC71</f>
        <v>723532.5</v>
      </c>
      <c r="AD54" s="34">
        <f>Headcount!AD71</f>
        <v>933291</v>
      </c>
      <c r="AE54" s="34">
        <f>Headcount!AE71</f>
        <v>1207946.175</v>
      </c>
    </row>
    <row r="55" spans="3:31" ht="11.25">
      <c r="C55" s="29" t="s">
        <v>74</v>
      </c>
      <c r="D55" s="29">
        <v>0.08</v>
      </c>
      <c r="E55" s="55"/>
      <c r="F55" s="53"/>
      <c r="G55" s="53"/>
      <c r="H55" s="53"/>
      <c r="I55" s="37">
        <f aca="true" t="shared" si="43" ref="I55:N55">$D55*I54</f>
        <v>800</v>
      </c>
      <c r="J55" s="37">
        <f t="shared" si="43"/>
        <v>800</v>
      </c>
      <c r="K55" s="37">
        <f t="shared" si="43"/>
        <v>1700</v>
      </c>
      <c r="L55" s="37">
        <f t="shared" si="43"/>
        <v>1700</v>
      </c>
      <c r="M55" s="37">
        <f t="shared" si="43"/>
        <v>1700</v>
      </c>
      <c r="N55" s="37">
        <f t="shared" si="43"/>
        <v>1700</v>
      </c>
      <c r="O55" s="118">
        <f>SUM(I55:N55)</f>
        <v>8400</v>
      </c>
      <c r="P55" s="131">
        <f aca="true" t="shared" si="44" ref="P55:AE55">$D55*P54</f>
        <v>2251</v>
      </c>
      <c r="Q55" s="37">
        <f t="shared" si="44"/>
        <v>2251</v>
      </c>
      <c r="R55" s="37">
        <f t="shared" si="44"/>
        <v>2251</v>
      </c>
      <c r="S55" s="37">
        <f t="shared" si="44"/>
        <v>2651</v>
      </c>
      <c r="T55" s="37">
        <f t="shared" si="44"/>
        <v>2651</v>
      </c>
      <c r="U55" s="37">
        <f t="shared" si="44"/>
        <v>2651</v>
      </c>
      <c r="V55" s="37">
        <f t="shared" si="44"/>
        <v>2651</v>
      </c>
      <c r="W55" s="37">
        <f t="shared" si="44"/>
        <v>2651</v>
      </c>
      <c r="X55" s="37">
        <f t="shared" si="44"/>
        <v>3051</v>
      </c>
      <c r="Y55" s="37">
        <f t="shared" si="44"/>
        <v>3051</v>
      </c>
      <c r="Z55" s="37">
        <f t="shared" si="44"/>
        <v>3451</v>
      </c>
      <c r="AA55" s="37">
        <f t="shared" si="44"/>
        <v>3451</v>
      </c>
      <c r="AB55" s="131">
        <f>SUM(P55:AA55)</f>
        <v>33012</v>
      </c>
      <c r="AC55" s="34">
        <f t="shared" si="44"/>
        <v>57882.6</v>
      </c>
      <c r="AD55" s="34">
        <f t="shared" si="44"/>
        <v>74663.28</v>
      </c>
      <c r="AE55" s="34">
        <f t="shared" si="44"/>
        <v>96635.694</v>
      </c>
    </row>
    <row r="56" spans="3:31" ht="12" thickBot="1">
      <c r="C56" s="29" t="s">
        <v>75</v>
      </c>
      <c r="D56" s="53">
        <v>0.08</v>
      </c>
      <c r="E56" s="55"/>
      <c r="F56" s="53"/>
      <c r="G56" s="53"/>
      <c r="H56" s="53"/>
      <c r="I56" s="35">
        <f aca="true" t="shared" si="45" ref="I56:N56">$D56*I54</f>
        <v>800</v>
      </c>
      <c r="J56" s="35">
        <f t="shared" si="45"/>
        <v>800</v>
      </c>
      <c r="K56" s="35">
        <f t="shared" si="45"/>
        <v>1700</v>
      </c>
      <c r="L56" s="35">
        <f t="shared" si="45"/>
        <v>1700</v>
      </c>
      <c r="M56" s="35">
        <f t="shared" si="45"/>
        <v>1700</v>
      </c>
      <c r="N56" s="35">
        <f t="shared" si="45"/>
        <v>1700</v>
      </c>
      <c r="O56" s="120">
        <f>SUM(I56:N56)</f>
        <v>8400</v>
      </c>
      <c r="P56" s="116">
        <f aca="true" t="shared" si="46" ref="P56:AA56">$D56*P54</f>
        <v>2251</v>
      </c>
      <c r="Q56" s="35">
        <f t="shared" si="46"/>
        <v>2251</v>
      </c>
      <c r="R56" s="35">
        <f t="shared" si="46"/>
        <v>2251</v>
      </c>
      <c r="S56" s="35">
        <f t="shared" si="46"/>
        <v>2651</v>
      </c>
      <c r="T56" s="35">
        <f t="shared" si="46"/>
        <v>2651</v>
      </c>
      <c r="U56" s="35">
        <f t="shared" si="46"/>
        <v>2651</v>
      </c>
      <c r="V56" s="35">
        <f t="shared" si="46"/>
        <v>2651</v>
      </c>
      <c r="W56" s="35">
        <f t="shared" si="46"/>
        <v>2651</v>
      </c>
      <c r="X56" s="35">
        <f t="shared" si="46"/>
        <v>3051</v>
      </c>
      <c r="Y56" s="35">
        <f t="shared" si="46"/>
        <v>3051</v>
      </c>
      <c r="Z56" s="35">
        <f t="shared" si="46"/>
        <v>3451</v>
      </c>
      <c r="AA56" s="137">
        <f t="shared" si="46"/>
        <v>3451</v>
      </c>
      <c r="AB56" s="116">
        <f>SUM(P56:AA56)</f>
        <v>33012</v>
      </c>
      <c r="AC56" s="35">
        <f>$D56*AC54</f>
        <v>57882.6</v>
      </c>
      <c r="AD56" s="35">
        <f>$D56*AD54</f>
        <v>74663.28</v>
      </c>
      <c r="AE56" s="35">
        <f>$D56*AE54</f>
        <v>96635.694</v>
      </c>
    </row>
    <row r="57" spans="2:31" ht="11.25">
      <c r="B57" s="29" t="s">
        <v>76</v>
      </c>
      <c r="E57" s="55"/>
      <c r="F57" s="53"/>
      <c r="G57" s="53"/>
      <c r="H57" s="53"/>
      <c r="I57" s="37">
        <f aca="true" t="shared" si="47" ref="I57:N57">SUM(I54:I56)</f>
        <v>11600</v>
      </c>
      <c r="J57" s="37">
        <f t="shared" si="47"/>
        <v>11600</v>
      </c>
      <c r="K57" s="37">
        <f t="shared" si="47"/>
        <v>24650</v>
      </c>
      <c r="L57" s="37">
        <f t="shared" si="47"/>
        <v>24650</v>
      </c>
      <c r="M57" s="37">
        <f t="shared" si="47"/>
        <v>24650</v>
      </c>
      <c r="N57" s="37">
        <f t="shared" si="47"/>
        <v>24650</v>
      </c>
      <c r="O57" s="118">
        <f>SUM(I57:N57)</f>
        <v>121800</v>
      </c>
      <c r="P57" s="131">
        <f aca="true" t="shared" si="48" ref="P57:AA57">SUM(P54:P56)</f>
        <v>32639.5</v>
      </c>
      <c r="Q57" s="37">
        <f t="shared" si="48"/>
        <v>32639.5</v>
      </c>
      <c r="R57" s="37">
        <f t="shared" si="48"/>
        <v>32639.5</v>
      </c>
      <c r="S57" s="37">
        <f t="shared" si="48"/>
        <v>38439.5</v>
      </c>
      <c r="T57" s="37">
        <f t="shared" si="48"/>
        <v>38439.5</v>
      </c>
      <c r="U57" s="37">
        <f t="shared" si="48"/>
        <v>38439.5</v>
      </c>
      <c r="V57" s="37">
        <f t="shared" si="48"/>
        <v>38439.5</v>
      </c>
      <c r="W57" s="37">
        <f t="shared" si="48"/>
        <v>38439.5</v>
      </c>
      <c r="X57" s="37">
        <f t="shared" si="48"/>
        <v>44239.5</v>
      </c>
      <c r="Y57" s="37">
        <f t="shared" si="48"/>
        <v>44239.5</v>
      </c>
      <c r="Z57" s="37">
        <f t="shared" si="48"/>
        <v>50039.5</v>
      </c>
      <c r="AA57" s="37">
        <f t="shared" si="48"/>
        <v>50039.5</v>
      </c>
      <c r="AB57" s="131">
        <f>SUM(P57:AA57)</f>
        <v>478674</v>
      </c>
      <c r="AC57" s="34">
        <f>SUM(AC54:AC56)</f>
        <v>839297.7</v>
      </c>
      <c r="AD57" s="34">
        <f>SUM(AD54:AD56)</f>
        <v>1082617.56</v>
      </c>
      <c r="AE57" s="34">
        <f>SUM(AE54:AE56)</f>
        <v>1401217.5629999998</v>
      </c>
    </row>
    <row r="58" spans="5:31" ht="11.25">
      <c r="E58" s="55"/>
      <c r="O58" s="118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131"/>
      <c r="AC58" s="34"/>
      <c r="AD58" s="34"/>
      <c r="AE58" s="34"/>
    </row>
    <row r="59" spans="2:31" ht="11.25">
      <c r="B59" s="29" t="s">
        <v>141</v>
      </c>
      <c r="D59" s="34">
        <v>800</v>
      </c>
      <c r="E59" s="131"/>
      <c r="F59" s="34"/>
      <c r="G59" s="34"/>
      <c r="H59" s="34"/>
      <c r="I59" s="37">
        <f aca="true" t="shared" si="49" ref="I59:N59">IF(I52-H52&gt;0,$D59*(I52-H52),0)</f>
        <v>800</v>
      </c>
      <c r="J59" s="37">
        <f t="shared" si="49"/>
        <v>0</v>
      </c>
      <c r="K59" s="37">
        <f t="shared" si="49"/>
        <v>1600</v>
      </c>
      <c r="L59" s="37">
        <f t="shared" si="49"/>
        <v>0</v>
      </c>
      <c r="M59" s="37">
        <f t="shared" si="49"/>
        <v>0</v>
      </c>
      <c r="N59" s="37">
        <f t="shared" si="49"/>
        <v>0</v>
      </c>
      <c r="O59" s="118">
        <f aca="true" t="shared" si="50" ref="O59:O64">SUM(I59:N59)</f>
        <v>2400</v>
      </c>
      <c r="P59" s="37">
        <f aca="true" t="shared" si="51" ref="P59:AA59">IF(P52-O52&gt;0,$D59*(P52-O52),0)</f>
        <v>800</v>
      </c>
      <c r="Q59" s="37">
        <f t="shared" si="51"/>
        <v>0</v>
      </c>
      <c r="R59" s="37">
        <f t="shared" si="51"/>
        <v>0</v>
      </c>
      <c r="S59" s="37">
        <f t="shared" si="51"/>
        <v>800</v>
      </c>
      <c r="T59" s="37">
        <f t="shared" si="51"/>
        <v>0</v>
      </c>
      <c r="U59" s="37">
        <f t="shared" si="51"/>
        <v>0</v>
      </c>
      <c r="V59" s="37">
        <f t="shared" si="51"/>
        <v>0</v>
      </c>
      <c r="W59" s="37">
        <f t="shared" si="51"/>
        <v>0</v>
      </c>
      <c r="X59" s="37">
        <f t="shared" si="51"/>
        <v>800</v>
      </c>
      <c r="Y59" s="37">
        <f t="shared" si="51"/>
        <v>0</v>
      </c>
      <c r="Z59" s="37">
        <f t="shared" si="51"/>
        <v>800</v>
      </c>
      <c r="AA59" s="37">
        <f t="shared" si="51"/>
        <v>0</v>
      </c>
      <c r="AB59" s="131">
        <f aca="true" t="shared" si="52" ref="AB59:AB64">SUM(P59:AA59)</f>
        <v>3200</v>
      </c>
      <c r="AC59" s="37">
        <f>IF(AC52-AB52&gt;0,$D59*(AC52-AB52),0)</f>
        <v>2400</v>
      </c>
      <c r="AD59" s="37">
        <f>AD52*D59</f>
        <v>10400</v>
      </c>
      <c r="AE59" s="37">
        <f>IF(AE52-AD52&gt;0,$D59*(AE52-AD52),0)</f>
        <v>3200</v>
      </c>
    </row>
    <row r="60" spans="2:31" ht="11.25">
      <c r="B60" s="29" t="s">
        <v>79</v>
      </c>
      <c r="D60" s="34">
        <v>1200</v>
      </c>
      <c r="E60" s="131"/>
      <c r="F60" s="34"/>
      <c r="G60" s="34"/>
      <c r="H60" s="34"/>
      <c r="I60" s="37">
        <f aca="true" t="shared" si="53" ref="I60:X62">$D60*I$5/12</f>
        <v>400</v>
      </c>
      <c r="J60" s="37">
        <f t="shared" si="53"/>
        <v>400</v>
      </c>
      <c r="K60" s="37">
        <f t="shared" si="53"/>
        <v>400</v>
      </c>
      <c r="L60" s="37">
        <f t="shared" si="53"/>
        <v>400</v>
      </c>
      <c r="M60" s="37">
        <f t="shared" si="53"/>
        <v>400</v>
      </c>
      <c r="N60" s="37">
        <f t="shared" si="53"/>
        <v>400</v>
      </c>
      <c r="O60" s="118">
        <f t="shared" si="50"/>
        <v>2400</v>
      </c>
      <c r="P60" s="37">
        <f t="shared" si="53"/>
        <v>500</v>
      </c>
      <c r="Q60" s="37">
        <f t="shared" si="53"/>
        <v>500</v>
      </c>
      <c r="R60" s="37">
        <f t="shared" si="53"/>
        <v>500</v>
      </c>
      <c r="S60" s="37">
        <f t="shared" si="53"/>
        <v>500</v>
      </c>
      <c r="T60" s="37">
        <f t="shared" si="53"/>
        <v>500</v>
      </c>
      <c r="U60" s="37">
        <f t="shared" si="53"/>
        <v>500</v>
      </c>
      <c r="V60" s="37">
        <f t="shared" si="53"/>
        <v>600</v>
      </c>
      <c r="W60" s="37">
        <f t="shared" si="53"/>
        <v>600</v>
      </c>
      <c r="X60" s="37">
        <f t="shared" si="53"/>
        <v>700</v>
      </c>
      <c r="Y60" s="37">
        <f aca="true" t="shared" si="54" ref="V60:AA62">$D60*Y$5/12</f>
        <v>700</v>
      </c>
      <c r="Z60" s="37">
        <f t="shared" si="54"/>
        <v>700</v>
      </c>
      <c r="AA60" s="37">
        <f t="shared" si="54"/>
        <v>700</v>
      </c>
      <c r="AB60" s="131">
        <f t="shared" si="52"/>
        <v>7000</v>
      </c>
      <c r="AC60" s="34">
        <f aca="true" t="shared" si="55" ref="AC60:AE62">AC$52*$D60</f>
        <v>12000</v>
      </c>
      <c r="AD60" s="34">
        <f t="shared" si="55"/>
        <v>15600</v>
      </c>
      <c r="AE60" s="34">
        <f t="shared" si="55"/>
        <v>20400</v>
      </c>
    </row>
    <row r="61" spans="2:31" ht="11.25">
      <c r="B61" s="29" t="s">
        <v>253</v>
      </c>
      <c r="D61" s="34">
        <v>25000</v>
      </c>
      <c r="E61" s="131"/>
      <c r="F61" s="34"/>
      <c r="G61" s="34"/>
      <c r="H61" s="34"/>
      <c r="I61" s="37">
        <f t="shared" si="53"/>
        <v>8333.333333333334</v>
      </c>
      <c r="J61" s="37">
        <f t="shared" si="53"/>
        <v>8333.333333333334</v>
      </c>
      <c r="K61" s="37">
        <f t="shared" si="53"/>
        <v>8333.333333333334</v>
      </c>
      <c r="L61" s="37">
        <f t="shared" si="53"/>
        <v>8333.333333333334</v>
      </c>
      <c r="M61" s="37">
        <f t="shared" si="53"/>
        <v>8333.333333333334</v>
      </c>
      <c r="N61" s="37">
        <f t="shared" si="53"/>
        <v>8333.333333333334</v>
      </c>
      <c r="O61" s="118">
        <f t="shared" si="50"/>
        <v>50000.00000000001</v>
      </c>
      <c r="P61" s="37">
        <f t="shared" si="53"/>
        <v>10416.666666666666</v>
      </c>
      <c r="Q61" s="37">
        <f t="shared" si="53"/>
        <v>10416.666666666666</v>
      </c>
      <c r="R61" s="37">
        <f t="shared" si="53"/>
        <v>10416.666666666666</v>
      </c>
      <c r="S61" s="37">
        <f t="shared" si="53"/>
        <v>10416.666666666666</v>
      </c>
      <c r="T61" s="37">
        <f t="shared" si="53"/>
        <v>10416.666666666666</v>
      </c>
      <c r="U61" s="37">
        <f t="shared" si="53"/>
        <v>10416.666666666666</v>
      </c>
      <c r="V61" s="37">
        <f t="shared" si="53"/>
        <v>12500</v>
      </c>
      <c r="W61" s="37">
        <f t="shared" si="53"/>
        <v>12500</v>
      </c>
      <c r="X61" s="37">
        <f t="shared" si="53"/>
        <v>14583.333333333334</v>
      </c>
      <c r="Y61" s="37">
        <f t="shared" si="54"/>
        <v>14583.333333333334</v>
      </c>
      <c r="Z61" s="37">
        <f t="shared" si="54"/>
        <v>14583.333333333334</v>
      </c>
      <c r="AA61" s="37">
        <f t="shared" si="54"/>
        <v>14583.333333333334</v>
      </c>
      <c r="AB61" s="131">
        <f t="shared" si="52"/>
        <v>145833.33333333334</v>
      </c>
      <c r="AC61" s="34">
        <f t="shared" si="55"/>
        <v>250000</v>
      </c>
      <c r="AD61" s="34">
        <f t="shared" si="55"/>
        <v>325000</v>
      </c>
      <c r="AE61" s="34">
        <f t="shared" si="55"/>
        <v>425000</v>
      </c>
    </row>
    <row r="62" spans="2:31" ht="12" thickBot="1">
      <c r="B62" s="29" t="s">
        <v>142</v>
      </c>
      <c r="D62" s="34">
        <v>100</v>
      </c>
      <c r="E62" s="131"/>
      <c r="F62" s="34"/>
      <c r="G62" s="34"/>
      <c r="H62" s="34"/>
      <c r="I62" s="35">
        <f t="shared" si="53"/>
        <v>33.333333333333336</v>
      </c>
      <c r="J62" s="35">
        <f t="shared" si="53"/>
        <v>33.333333333333336</v>
      </c>
      <c r="K62" s="35">
        <f t="shared" si="53"/>
        <v>33.333333333333336</v>
      </c>
      <c r="L62" s="35">
        <f t="shared" si="53"/>
        <v>33.333333333333336</v>
      </c>
      <c r="M62" s="35">
        <f t="shared" si="53"/>
        <v>33.333333333333336</v>
      </c>
      <c r="N62" s="35">
        <f t="shared" si="53"/>
        <v>33.333333333333336</v>
      </c>
      <c r="O62" s="120">
        <f t="shared" si="50"/>
        <v>200.00000000000003</v>
      </c>
      <c r="P62" s="35">
        <f t="shared" si="53"/>
        <v>41.666666666666664</v>
      </c>
      <c r="Q62" s="35">
        <f t="shared" si="53"/>
        <v>41.666666666666664</v>
      </c>
      <c r="R62" s="35">
        <f t="shared" si="53"/>
        <v>41.666666666666664</v>
      </c>
      <c r="S62" s="35">
        <f t="shared" si="53"/>
        <v>41.666666666666664</v>
      </c>
      <c r="T62" s="35">
        <f t="shared" si="53"/>
        <v>41.666666666666664</v>
      </c>
      <c r="U62" s="35">
        <f t="shared" si="53"/>
        <v>41.666666666666664</v>
      </c>
      <c r="V62" s="35">
        <f t="shared" si="54"/>
        <v>50</v>
      </c>
      <c r="W62" s="35">
        <f t="shared" si="54"/>
        <v>50</v>
      </c>
      <c r="X62" s="35">
        <f t="shared" si="54"/>
        <v>58.333333333333336</v>
      </c>
      <c r="Y62" s="35">
        <f t="shared" si="54"/>
        <v>58.333333333333336</v>
      </c>
      <c r="Z62" s="35">
        <f t="shared" si="54"/>
        <v>58.333333333333336</v>
      </c>
      <c r="AA62" s="35">
        <f t="shared" si="54"/>
        <v>58.333333333333336</v>
      </c>
      <c r="AB62" s="116">
        <f t="shared" si="52"/>
        <v>583.3333333333334</v>
      </c>
      <c r="AC62" s="34">
        <f t="shared" si="55"/>
        <v>1000</v>
      </c>
      <c r="AD62" s="34">
        <f t="shared" si="55"/>
        <v>1300</v>
      </c>
      <c r="AE62" s="34">
        <f t="shared" si="55"/>
        <v>1700</v>
      </c>
    </row>
    <row r="63" spans="2:31" ht="12" thickBot="1">
      <c r="B63" s="29" t="s">
        <v>80</v>
      </c>
      <c r="D63" s="34"/>
      <c r="E63" s="131"/>
      <c r="F63" s="34"/>
      <c r="G63" s="34"/>
      <c r="H63" s="34"/>
      <c r="I63" s="66">
        <f aca="true" t="shared" si="56" ref="I63:N63">SUM(I59:I62)</f>
        <v>9566.666666666668</v>
      </c>
      <c r="J63" s="66">
        <f t="shared" si="56"/>
        <v>8766.666666666668</v>
      </c>
      <c r="K63" s="66">
        <f t="shared" si="56"/>
        <v>10366.666666666668</v>
      </c>
      <c r="L63" s="66">
        <f t="shared" si="56"/>
        <v>8766.666666666668</v>
      </c>
      <c r="M63" s="66">
        <f t="shared" si="56"/>
        <v>8766.666666666668</v>
      </c>
      <c r="N63" s="66">
        <f t="shared" si="56"/>
        <v>8766.666666666668</v>
      </c>
      <c r="O63" s="135">
        <f t="shared" si="50"/>
        <v>55000.000000000015</v>
      </c>
      <c r="P63" s="66">
        <f aca="true" t="shared" si="57" ref="P63:AA63">SUM(P59:P62)</f>
        <v>11758.333333333332</v>
      </c>
      <c r="Q63" s="66">
        <f t="shared" si="57"/>
        <v>10958.333333333332</v>
      </c>
      <c r="R63" s="66">
        <f t="shared" si="57"/>
        <v>10958.333333333332</v>
      </c>
      <c r="S63" s="66">
        <f t="shared" si="57"/>
        <v>11758.333333333332</v>
      </c>
      <c r="T63" s="66">
        <f t="shared" si="57"/>
        <v>10958.333333333332</v>
      </c>
      <c r="U63" s="66">
        <f t="shared" si="57"/>
        <v>10958.333333333332</v>
      </c>
      <c r="V63" s="66">
        <f t="shared" si="57"/>
        <v>13150</v>
      </c>
      <c r="W63" s="66">
        <f t="shared" si="57"/>
        <v>13150</v>
      </c>
      <c r="X63" s="66">
        <f t="shared" si="57"/>
        <v>16141.666666666668</v>
      </c>
      <c r="Y63" s="66">
        <f t="shared" si="57"/>
        <v>15341.666666666668</v>
      </c>
      <c r="Z63" s="66">
        <f t="shared" si="57"/>
        <v>16141.666666666668</v>
      </c>
      <c r="AA63" s="66">
        <f t="shared" si="57"/>
        <v>15341.666666666668</v>
      </c>
      <c r="AB63" s="136">
        <f t="shared" si="52"/>
        <v>156616.66666666666</v>
      </c>
      <c r="AC63" s="66">
        <f>SUM(AC59:AC62)</f>
        <v>265400</v>
      </c>
      <c r="AD63" s="66">
        <f>SUM(AD59:AD62)</f>
        <v>352300</v>
      </c>
      <c r="AE63" s="66">
        <f>SUM(AE59:AE62)</f>
        <v>450300</v>
      </c>
    </row>
    <row r="64" spans="2:31" ht="11.25">
      <c r="B64" s="29" t="s">
        <v>145</v>
      </c>
      <c r="D64" s="34"/>
      <c r="E64" s="131"/>
      <c r="F64" s="34"/>
      <c r="G64" s="34"/>
      <c r="H64" s="34"/>
      <c r="I64" s="34">
        <f aca="true" t="shared" si="58" ref="I64:N64">I57+I63</f>
        <v>21166.666666666668</v>
      </c>
      <c r="J64" s="34">
        <f t="shared" si="58"/>
        <v>20366.666666666668</v>
      </c>
      <c r="K64" s="34">
        <f t="shared" si="58"/>
        <v>35016.66666666667</v>
      </c>
      <c r="L64" s="34">
        <f t="shared" si="58"/>
        <v>33416.66666666667</v>
      </c>
      <c r="M64" s="34">
        <f t="shared" si="58"/>
        <v>33416.66666666667</v>
      </c>
      <c r="N64" s="34">
        <f t="shared" si="58"/>
        <v>33416.66666666667</v>
      </c>
      <c r="O64" s="118">
        <f t="shared" si="50"/>
        <v>176800</v>
      </c>
      <c r="P64" s="34">
        <f aca="true" t="shared" si="59" ref="P64:AA64">P57+P63</f>
        <v>44397.83333333333</v>
      </c>
      <c r="Q64" s="34">
        <f t="shared" si="59"/>
        <v>43597.83333333333</v>
      </c>
      <c r="R64" s="34">
        <f t="shared" si="59"/>
        <v>43597.83333333333</v>
      </c>
      <c r="S64" s="34">
        <f t="shared" si="59"/>
        <v>50197.83333333333</v>
      </c>
      <c r="T64" s="34">
        <f t="shared" si="59"/>
        <v>49397.83333333333</v>
      </c>
      <c r="U64" s="34">
        <f t="shared" si="59"/>
        <v>49397.83333333333</v>
      </c>
      <c r="V64" s="34">
        <f t="shared" si="59"/>
        <v>51589.5</v>
      </c>
      <c r="W64" s="34">
        <f t="shared" si="59"/>
        <v>51589.5</v>
      </c>
      <c r="X64" s="34">
        <f t="shared" si="59"/>
        <v>60381.16666666667</v>
      </c>
      <c r="Y64" s="34">
        <f t="shared" si="59"/>
        <v>59581.16666666667</v>
      </c>
      <c r="Z64" s="34">
        <f t="shared" si="59"/>
        <v>66181.16666666667</v>
      </c>
      <c r="AA64" s="34">
        <f t="shared" si="59"/>
        <v>65381.16666666667</v>
      </c>
      <c r="AB64" s="131">
        <f t="shared" si="52"/>
        <v>635290.6666666666</v>
      </c>
      <c r="AC64" s="34">
        <f>AC57+AC63</f>
        <v>1104697.7</v>
      </c>
      <c r="AD64" s="34">
        <f>AD57+AD63</f>
        <v>1434917.56</v>
      </c>
      <c r="AE64" s="34">
        <f>AE57+AE63</f>
        <v>1851517.5629999998</v>
      </c>
    </row>
    <row r="76" spans="15:31" ht="11.25"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5:31" ht="11.25"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5:31" ht="11.25"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5:31" ht="11.25"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5:31" ht="11.25"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5:31" ht="11.25"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5:31" ht="11.25"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5:31" ht="11.25"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5:31" ht="11.25"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5:31" ht="11.25"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5:31" ht="11.25"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5:31" ht="11.25"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5:31" ht="11.25"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5:31" ht="11.25"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5:31" ht="11.25"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5:31" ht="11.25"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5:31" ht="11.25"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5:31" ht="11.25"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5:31" ht="11.25"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5:31" ht="11.25"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5:31" ht="11.25"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5:31" ht="11.25"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5:31" ht="11.25"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</row>
    <row r="99" spans="15:31" ht="11.25"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</row>
    <row r="100" spans="15:31" ht="11.25"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</row>
    <row r="101" spans="15:31" ht="11.25"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</row>
    <row r="102" spans="15:31" ht="11.25"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3" spans="15:31" ht="11.25"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4" spans="15:31" ht="11.25"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pans="15:31" ht="11.25"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5:31" ht="11.25"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5:31" ht="11.25"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5:31" ht="11.25"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5:31" ht="11.25"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5:31" ht="11.25"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5:31" ht="11.25"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5:31" ht="11.25"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5:31" ht="11.25"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5:31" ht="11.25"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5:31" ht="11.25"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5:31" ht="11.25"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5:31" ht="11.25"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5:31" ht="11.25"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5:31" ht="11.25"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5:31" ht="11.25"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5:31" ht="11.25"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5:31" ht="11.25"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5:31" ht="11.25"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5:31" ht="11.25"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5:31" ht="11.25"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5:31" ht="11.25"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5:31" ht="11.25"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5:31" ht="11.25"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5:31" ht="11.25"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pans="15:31" ht="11.25"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pans="15:31" ht="11.25"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</row>
    <row r="132" spans="15:31" ht="11.25"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</row>
    <row r="133" spans="15:31" ht="11.25"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</row>
    <row r="134" spans="15:31" ht="11.25"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</row>
    <row r="135" spans="15:31" ht="11.25"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</row>
    <row r="136" spans="15:31" ht="11.25"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</row>
    <row r="137" spans="15:31" ht="11.25"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</row>
    <row r="138" spans="15:31" ht="11.25"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</row>
  </sheetData>
  <sheetProtection/>
  <printOptions/>
  <pageMargins left="0.5" right="0.5" top="1" bottom="1" header="0.5" footer="0.5"/>
  <pageSetup horizontalDpi="300" verticalDpi="300" orientation="portrait" r:id="rId1"/>
  <headerFooter alignWithMargins="0">
    <oddHeader>&amp;C&amp;"Arial,Bold"&amp;14Personnel Projections&amp;10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E636"/>
  <sheetViews>
    <sheetView showOutlineSymbols="0" zoomScalePageLayoutView="0" workbookViewId="0" topLeftCell="A1">
      <selection activeCell="A1" sqref="A1"/>
    </sheetView>
  </sheetViews>
  <sheetFormatPr defaultColWidth="9.140625" defaultRowHeight="12.75" outlineLevelCol="5"/>
  <cols>
    <col min="1" max="2" width="2.7109375" style="29" customWidth="1"/>
    <col min="3" max="3" width="27.8515625" style="29" customWidth="1"/>
    <col min="4" max="14" width="7.28125" style="29" customWidth="1" outlineLevel="5"/>
    <col min="15" max="28" width="8.7109375" style="29" customWidth="1"/>
    <col min="29" max="29" width="9.421875" style="29" customWidth="1"/>
    <col min="30" max="30" width="10.140625" style="29" customWidth="1"/>
    <col min="31" max="31" width="9.28125" style="29" bestFit="1" customWidth="1"/>
    <col min="32" max="16384" width="9.140625" style="29" customWidth="1"/>
  </cols>
  <sheetData>
    <row r="1" ht="15.75">
      <c r="A1" s="28" t="s">
        <v>280</v>
      </c>
    </row>
    <row r="2" spans="4:27" ht="11.25">
      <c r="D2" s="53"/>
      <c r="E2" s="53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</row>
    <row r="3" spans="1:31" ht="24">
      <c r="A3" s="48" t="s">
        <v>6</v>
      </c>
      <c r="B3" s="31"/>
      <c r="D3" s="49" t="s">
        <v>26</v>
      </c>
      <c r="E3" s="138" t="s">
        <v>189</v>
      </c>
      <c r="F3" s="138" t="s">
        <v>190</v>
      </c>
      <c r="G3" s="138" t="s">
        <v>191</v>
      </c>
      <c r="H3" s="138" t="s">
        <v>192</v>
      </c>
      <c r="I3" s="138" t="s">
        <v>210</v>
      </c>
      <c r="J3" s="138" t="s">
        <v>194</v>
      </c>
      <c r="K3" s="138" t="s">
        <v>195</v>
      </c>
      <c r="L3" s="138" t="s">
        <v>196</v>
      </c>
      <c r="M3" s="138" t="s">
        <v>197</v>
      </c>
      <c r="N3" s="138" t="s">
        <v>198</v>
      </c>
      <c r="O3" s="117" t="s">
        <v>164</v>
      </c>
      <c r="P3" s="144" t="s">
        <v>223</v>
      </c>
      <c r="Q3" s="144" t="s">
        <v>224</v>
      </c>
      <c r="R3" s="138" t="s">
        <v>189</v>
      </c>
      <c r="S3" s="138" t="s">
        <v>190</v>
      </c>
      <c r="T3" s="138" t="s">
        <v>191</v>
      </c>
      <c r="U3" s="138" t="s">
        <v>192</v>
      </c>
      <c r="V3" s="138" t="s">
        <v>210</v>
      </c>
      <c r="W3" s="138" t="s">
        <v>194</v>
      </c>
      <c r="X3" s="138" t="s">
        <v>195</v>
      </c>
      <c r="Y3" s="138" t="s">
        <v>196</v>
      </c>
      <c r="Z3" s="138" t="s">
        <v>197</v>
      </c>
      <c r="AA3" s="138" t="s">
        <v>198</v>
      </c>
      <c r="AB3" s="134" t="s">
        <v>165</v>
      </c>
      <c r="AC3" s="50" t="s">
        <v>166</v>
      </c>
      <c r="AD3" s="51" t="s">
        <v>167</v>
      </c>
      <c r="AE3" s="51" t="s">
        <v>168</v>
      </c>
    </row>
    <row r="4" spans="1:31" ht="12">
      <c r="A4" s="48" t="s">
        <v>140</v>
      </c>
      <c r="B4" s="31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118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131"/>
      <c r="AC4" s="34"/>
      <c r="AD4" s="34"/>
      <c r="AE4" s="34"/>
    </row>
    <row r="5" spans="3:31" ht="11.25">
      <c r="C5" s="29" t="s">
        <v>25</v>
      </c>
      <c r="D5" s="34">
        <v>150000</v>
      </c>
      <c r="E5" s="34">
        <f>$D$5/12</f>
        <v>12500</v>
      </c>
      <c r="F5" s="34">
        <f aca="true" t="shared" si="0" ref="F5:N5">$D$5/12</f>
        <v>12500</v>
      </c>
      <c r="G5" s="34">
        <f t="shared" si="0"/>
        <v>12500</v>
      </c>
      <c r="H5" s="34">
        <f t="shared" si="0"/>
        <v>12500</v>
      </c>
      <c r="I5" s="34">
        <f t="shared" si="0"/>
        <v>12500</v>
      </c>
      <c r="J5" s="34">
        <f t="shared" si="0"/>
        <v>12500</v>
      </c>
      <c r="K5" s="34">
        <f t="shared" si="0"/>
        <v>12500</v>
      </c>
      <c r="L5" s="34">
        <f t="shared" si="0"/>
        <v>12500</v>
      </c>
      <c r="M5" s="34">
        <f t="shared" si="0"/>
        <v>12500</v>
      </c>
      <c r="N5" s="34">
        <f t="shared" si="0"/>
        <v>12500</v>
      </c>
      <c r="O5" s="118">
        <f>SUM(E5:N5)</f>
        <v>125000</v>
      </c>
      <c r="P5" s="37">
        <f>$D5*1.03/12</f>
        <v>12875</v>
      </c>
      <c r="Q5" s="37">
        <f aca="true" t="shared" si="1" ref="Q5:AA5">$D5*1.03/12</f>
        <v>12875</v>
      </c>
      <c r="R5" s="37">
        <f t="shared" si="1"/>
        <v>12875</v>
      </c>
      <c r="S5" s="37">
        <f t="shared" si="1"/>
        <v>12875</v>
      </c>
      <c r="T5" s="37">
        <f t="shared" si="1"/>
        <v>12875</v>
      </c>
      <c r="U5" s="37">
        <f t="shared" si="1"/>
        <v>12875</v>
      </c>
      <c r="V5" s="37">
        <f t="shared" si="1"/>
        <v>12875</v>
      </c>
      <c r="W5" s="37">
        <f t="shared" si="1"/>
        <v>12875</v>
      </c>
      <c r="X5" s="37">
        <f t="shared" si="1"/>
        <v>12875</v>
      </c>
      <c r="Y5" s="37">
        <f t="shared" si="1"/>
        <v>12875</v>
      </c>
      <c r="Z5" s="37">
        <f t="shared" si="1"/>
        <v>12875</v>
      </c>
      <c r="AA5" s="37">
        <f t="shared" si="1"/>
        <v>12875</v>
      </c>
      <c r="AB5" s="131">
        <f aca="true" t="shared" si="2" ref="AB5:AB12">SUM(P5:AA5)</f>
        <v>154500</v>
      </c>
      <c r="AC5" s="34">
        <f>AB5*1.05</f>
        <v>162225</v>
      </c>
      <c r="AD5" s="34">
        <f>AC5*1.05</f>
        <v>170336.25</v>
      </c>
      <c r="AE5" s="34">
        <f>AD5*1.05</f>
        <v>178853.0625</v>
      </c>
    </row>
    <row r="6" spans="3:31" ht="11.25">
      <c r="C6" s="29" t="s">
        <v>7</v>
      </c>
      <c r="D6" s="34">
        <v>130000</v>
      </c>
      <c r="E6" s="34"/>
      <c r="F6" s="34"/>
      <c r="G6" s="34"/>
      <c r="H6" s="34"/>
      <c r="I6" s="34"/>
      <c r="J6" s="34"/>
      <c r="K6" s="34"/>
      <c r="L6" s="34"/>
      <c r="M6" s="34"/>
      <c r="N6" s="34"/>
      <c r="O6" s="118"/>
      <c r="P6" s="37"/>
      <c r="Q6" s="37"/>
      <c r="R6" s="37"/>
      <c r="S6" s="37"/>
      <c r="T6" s="37"/>
      <c r="U6" s="37"/>
      <c r="V6" s="37">
        <f aca="true" t="shared" si="3" ref="V6:AA6">$D6/12</f>
        <v>10833.333333333334</v>
      </c>
      <c r="W6" s="37">
        <f t="shared" si="3"/>
        <v>10833.333333333334</v>
      </c>
      <c r="X6" s="37">
        <f t="shared" si="3"/>
        <v>10833.333333333334</v>
      </c>
      <c r="Y6" s="37">
        <f t="shared" si="3"/>
        <v>10833.333333333334</v>
      </c>
      <c r="Z6" s="37">
        <f t="shared" si="3"/>
        <v>10833.333333333334</v>
      </c>
      <c r="AA6" s="37">
        <f t="shared" si="3"/>
        <v>10833.333333333334</v>
      </c>
      <c r="AB6" s="131">
        <f t="shared" si="2"/>
        <v>65000.00000000001</v>
      </c>
      <c r="AC6" s="34">
        <f>D6</f>
        <v>130000</v>
      </c>
      <c r="AD6" s="34">
        <f aca="true" t="shared" si="4" ref="AD6:AE10">AC6*1.05</f>
        <v>136500</v>
      </c>
      <c r="AE6" s="34">
        <f t="shared" si="4"/>
        <v>143325</v>
      </c>
    </row>
    <row r="7" spans="3:31" ht="11.25">
      <c r="C7" s="29" t="s">
        <v>8</v>
      </c>
      <c r="D7" s="34">
        <v>80000</v>
      </c>
      <c r="E7" s="34"/>
      <c r="F7" s="34"/>
      <c r="G7" s="34">
        <f>$D$7/12</f>
        <v>6666.666666666667</v>
      </c>
      <c r="H7" s="34">
        <f aca="true" t="shared" si="5" ref="H7:N7">$D$7/12</f>
        <v>6666.666666666667</v>
      </c>
      <c r="I7" s="34">
        <f t="shared" si="5"/>
        <v>6666.666666666667</v>
      </c>
      <c r="J7" s="34">
        <f t="shared" si="5"/>
        <v>6666.666666666667</v>
      </c>
      <c r="K7" s="34">
        <f t="shared" si="5"/>
        <v>6666.666666666667</v>
      </c>
      <c r="L7" s="34">
        <f t="shared" si="5"/>
        <v>6666.666666666667</v>
      </c>
      <c r="M7" s="34">
        <f t="shared" si="5"/>
        <v>6666.666666666667</v>
      </c>
      <c r="N7" s="34">
        <f t="shared" si="5"/>
        <v>6666.666666666667</v>
      </c>
      <c r="O7" s="118">
        <f>SUM(E7:N7)</f>
        <v>53333.33333333333</v>
      </c>
      <c r="P7" s="37">
        <f>$D7*1.03/12</f>
        <v>6866.666666666667</v>
      </c>
      <c r="Q7" s="37">
        <f aca="true" t="shared" si="6" ref="Q7:AA7">$D7*1.03/12</f>
        <v>6866.666666666667</v>
      </c>
      <c r="R7" s="37">
        <f t="shared" si="6"/>
        <v>6866.666666666667</v>
      </c>
      <c r="S7" s="37">
        <f t="shared" si="6"/>
        <v>6866.666666666667</v>
      </c>
      <c r="T7" s="37">
        <f t="shared" si="6"/>
        <v>6866.666666666667</v>
      </c>
      <c r="U7" s="37">
        <f t="shared" si="6"/>
        <v>6866.666666666667</v>
      </c>
      <c r="V7" s="37">
        <f t="shared" si="6"/>
        <v>6866.666666666667</v>
      </c>
      <c r="W7" s="37">
        <f t="shared" si="6"/>
        <v>6866.666666666667</v>
      </c>
      <c r="X7" s="37">
        <f t="shared" si="6"/>
        <v>6866.666666666667</v>
      </c>
      <c r="Y7" s="37">
        <f t="shared" si="6"/>
        <v>6866.666666666667</v>
      </c>
      <c r="Z7" s="37">
        <f t="shared" si="6"/>
        <v>6866.666666666667</v>
      </c>
      <c r="AA7" s="37">
        <f t="shared" si="6"/>
        <v>6866.666666666667</v>
      </c>
      <c r="AB7" s="131">
        <f t="shared" si="2"/>
        <v>82400</v>
      </c>
      <c r="AC7" s="34">
        <f>AB7*1.05</f>
        <v>86520</v>
      </c>
      <c r="AD7" s="34">
        <f t="shared" si="4"/>
        <v>90846</v>
      </c>
      <c r="AE7" s="34">
        <f t="shared" si="4"/>
        <v>95388.3</v>
      </c>
    </row>
    <row r="8" spans="3:31" ht="11.25">
      <c r="C8" s="29" t="s">
        <v>161</v>
      </c>
      <c r="D8" s="34">
        <v>60000</v>
      </c>
      <c r="E8" s="34">
        <f>$D$8/12</f>
        <v>5000</v>
      </c>
      <c r="F8" s="34">
        <f aca="true" t="shared" si="7" ref="F8:N8">$D$8/12</f>
        <v>5000</v>
      </c>
      <c r="G8" s="34">
        <f t="shared" si="7"/>
        <v>5000</v>
      </c>
      <c r="H8" s="34">
        <f t="shared" si="7"/>
        <v>5000</v>
      </c>
      <c r="I8" s="34">
        <f t="shared" si="7"/>
        <v>5000</v>
      </c>
      <c r="J8" s="34">
        <f t="shared" si="7"/>
        <v>5000</v>
      </c>
      <c r="K8" s="34">
        <f t="shared" si="7"/>
        <v>5000</v>
      </c>
      <c r="L8" s="34">
        <f t="shared" si="7"/>
        <v>5000</v>
      </c>
      <c r="M8" s="34">
        <f t="shared" si="7"/>
        <v>5000</v>
      </c>
      <c r="N8" s="34">
        <f t="shared" si="7"/>
        <v>5000</v>
      </c>
      <c r="O8" s="118">
        <f>SUM(E8:N8)</f>
        <v>50000</v>
      </c>
      <c r="P8" s="37">
        <f>$D8/12</f>
        <v>5000</v>
      </c>
      <c r="Q8" s="37">
        <f aca="true" t="shared" si="8" ref="Q8:AA9">$D8/12</f>
        <v>5000</v>
      </c>
      <c r="R8" s="37">
        <f t="shared" si="8"/>
        <v>5000</v>
      </c>
      <c r="S8" s="37">
        <f t="shared" si="8"/>
        <v>5000</v>
      </c>
      <c r="T8" s="37">
        <f t="shared" si="8"/>
        <v>5000</v>
      </c>
      <c r="U8" s="37">
        <f t="shared" si="8"/>
        <v>5000</v>
      </c>
      <c r="V8" s="37">
        <f t="shared" si="8"/>
        <v>5000</v>
      </c>
      <c r="W8" s="37">
        <f t="shared" si="8"/>
        <v>5000</v>
      </c>
      <c r="X8" s="37">
        <f t="shared" si="8"/>
        <v>5000</v>
      </c>
      <c r="Y8" s="37">
        <f t="shared" si="8"/>
        <v>5000</v>
      </c>
      <c r="Z8" s="37">
        <f t="shared" si="8"/>
        <v>5000</v>
      </c>
      <c r="AA8" s="37">
        <f t="shared" si="8"/>
        <v>5000</v>
      </c>
      <c r="AB8" s="131">
        <f t="shared" si="2"/>
        <v>60000</v>
      </c>
      <c r="AC8" s="34">
        <f>AB8*1.05</f>
        <v>63000</v>
      </c>
      <c r="AD8" s="34">
        <f t="shared" si="4"/>
        <v>66150</v>
      </c>
      <c r="AE8" s="34">
        <f t="shared" si="4"/>
        <v>69457.5</v>
      </c>
    </row>
    <row r="9" spans="3:31" ht="11.25">
      <c r="C9" s="29" t="s">
        <v>169</v>
      </c>
      <c r="D9" s="34">
        <v>100000</v>
      </c>
      <c r="E9" s="37"/>
      <c r="F9" s="37"/>
      <c r="G9" s="37"/>
      <c r="H9" s="37"/>
      <c r="I9" s="37"/>
      <c r="J9" s="37"/>
      <c r="K9" s="37"/>
      <c r="L9" s="37"/>
      <c r="M9" s="37"/>
      <c r="N9" s="37"/>
      <c r="O9" s="118"/>
      <c r="P9" s="37">
        <f>$D9/12</f>
        <v>8333.333333333334</v>
      </c>
      <c r="Q9" s="37">
        <f t="shared" si="8"/>
        <v>8333.333333333334</v>
      </c>
      <c r="R9" s="37">
        <f t="shared" si="8"/>
        <v>8333.333333333334</v>
      </c>
      <c r="S9" s="37">
        <f t="shared" si="8"/>
        <v>8333.333333333334</v>
      </c>
      <c r="T9" s="37">
        <f t="shared" si="8"/>
        <v>8333.333333333334</v>
      </c>
      <c r="U9" s="37">
        <f t="shared" si="8"/>
        <v>8333.333333333334</v>
      </c>
      <c r="V9" s="37">
        <f t="shared" si="8"/>
        <v>8333.333333333334</v>
      </c>
      <c r="W9" s="37">
        <f t="shared" si="8"/>
        <v>8333.333333333334</v>
      </c>
      <c r="X9" s="37">
        <f t="shared" si="8"/>
        <v>8333.333333333334</v>
      </c>
      <c r="Y9" s="37">
        <f t="shared" si="8"/>
        <v>8333.333333333334</v>
      </c>
      <c r="Z9" s="37">
        <f t="shared" si="8"/>
        <v>8333.333333333334</v>
      </c>
      <c r="AA9" s="37">
        <f t="shared" si="8"/>
        <v>8333.333333333334</v>
      </c>
      <c r="AB9" s="131">
        <f t="shared" si="2"/>
        <v>99999.99999999999</v>
      </c>
      <c r="AC9" s="34">
        <f>AB9*1.05</f>
        <v>104999.99999999999</v>
      </c>
      <c r="AD9" s="37">
        <f t="shared" si="4"/>
        <v>110249.99999999999</v>
      </c>
      <c r="AE9" s="37">
        <f t="shared" si="4"/>
        <v>115762.49999999999</v>
      </c>
    </row>
    <row r="10" spans="3:31" ht="11.25">
      <c r="C10" s="29" t="s">
        <v>24</v>
      </c>
      <c r="D10" s="34">
        <v>35000</v>
      </c>
      <c r="E10" s="37"/>
      <c r="F10" s="37"/>
      <c r="G10" s="37">
        <f>$D$11/12</f>
        <v>2500</v>
      </c>
      <c r="H10" s="37">
        <f aca="true" t="shared" si="9" ref="H10:N10">$D$11/12</f>
        <v>2500</v>
      </c>
      <c r="I10" s="37">
        <f t="shared" si="9"/>
        <v>2500</v>
      </c>
      <c r="J10" s="37">
        <f t="shared" si="9"/>
        <v>2500</v>
      </c>
      <c r="K10" s="37">
        <f t="shared" si="9"/>
        <v>2500</v>
      </c>
      <c r="L10" s="37">
        <f t="shared" si="9"/>
        <v>2500</v>
      </c>
      <c r="M10" s="37">
        <f t="shared" si="9"/>
        <v>2500</v>
      </c>
      <c r="N10" s="37">
        <f t="shared" si="9"/>
        <v>2500</v>
      </c>
      <c r="O10" s="118">
        <f>SUM(E10:N10)</f>
        <v>20000</v>
      </c>
      <c r="P10" s="37">
        <f>$D10*1.03/12</f>
        <v>3004.1666666666665</v>
      </c>
      <c r="Q10" s="37">
        <f aca="true" t="shared" si="10" ref="Q10:AA10">$D10*1.03/12</f>
        <v>3004.1666666666665</v>
      </c>
      <c r="R10" s="37">
        <f t="shared" si="10"/>
        <v>3004.1666666666665</v>
      </c>
      <c r="S10" s="37">
        <f t="shared" si="10"/>
        <v>3004.1666666666665</v>
      </c>
      <c r="T10" s="37">
        <f t="shared" si="10"/>
        <v>3004.1666666666665</v>
      </c>
      <c r="U10" s="37">
        <f t="shared" si="10"/>
        <v>3004.1666666666665</v>
      </c>
      <c r="V10" s="37">
        <f t="shared" si="10"/>
        <v>3004.1666666666665</v>
      </c>
      <c r="W10" s="37">
        <f t="shared" si="10"/>
        <v>3004.1666666666665</v>
      </c>
      <c r="X10" s="37">
        <f t="shared" si="10"/>
        <v>3004.1666666666665</v>
      </c>
      <c r="Y10" s="37">
        <f t="shared" si="10"/>
        <v>3004.1666666666665</v>
      </c>
      <c r="Z10" s="37">
        <f t="shared" si="10"/>
        <v>3004.1666666666665</v>
      </c>
      <c r="AA10" s="37">
        <f t="shared" si="10"/>
        <v>3004.1666666666665</v>
      </c>
      <c r="AB10" s="131">
        <f t="shared" si="2"/>
        <v>36050</v>
      </c>
      <c r="AC10" s="34">
        <f>AB10*1.05</f>
        <v>37852.5</v>
      </c>
      <c r="AD10" s="37">
        <f t="shared" si="4"/>
        <v>39745.125</v>
      </c>
      <c r="AE10" s="37">
        <f t="shared" si="4"/>
        <v>41732.38125</v>
      </c>
    </row>
    <row r="11" spans="3:31" ht="12" thickBot="1">
      <c r="C11" s="29" t="s">
        <v>24</v>
      </c>
      <c r="D11" s="34">
        <v>30000</v>
      </c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120"/>
      <c r="P11" s="116"/>
      <c r="Q11" s="35"/>
      <c r="R11" s="35"/>
      <c r="S11" s="35"/>
      <c r="T11" s="35"/>
      <c r="U11" s="35"/>
      <c r="V11" s="35"/>
      <c r="W11" s="35"/>
      <c r="X11" s="35">
        <f>$D11/12</f>
        <v>2500</v>
      </c>
      <c r="Y11" s="35">
        <f>$D11/12</f>
        <v>2500</v>
      </c>
      <c r="Z11" s="35">
        <f>$D11/12</f>
        <v>2500</v>
      </c>
      <c r="AA11" s="35">
        <f>$D11/12</f>
        <v>2500</v>
      </c>
      <c r="AB11" s="116">
        <f t="shared" si="2"/>
        <v>10000</v>
      </c>
      <c r="AC11" s="35">
        <f>AB11*1.03</f>
        <v>10300</v>
      </c>
      <c r="AD11" s="35">
        <f>AC11*1.03</f>
        <v>10609</v>
      </c>
      <c r="AE11" s="35">
        <f>AD11*1.03</f>
        <v>10927.27</v>
      </c>
    </row>
    <row r="12" spans="2:31" ht="11.25">
      <c r="B12" s="29" t="s">
        <v>219</v>
      </c>
      <c r="D12" s="34"/>
      <c r="E12" s="34">
        <f aca="true" t="shared" si="11" ref="E12:AA12">SUM(E5:E11)</f>
        <v>17500</v>
      </c>
      <c r="F12" s="34">
        <f t="shared" si="11"/>
        <v>17500</v>
      </c>
      <c r="G12" s="34">
        <f t="shared" si="11"/>
        <v>26666.666666666668</v>
      </c>
      <c r="H12" s="34">
        <f t="shared" si="11"/>
        <v>26666.666666666668</v>
      </c>
      <c r="I12" s="34">
        <f t="shared" si="11"/>
        <v>26666.666666666668</v>
      </c>
      <c r="J12" s="34">
        <f t="shared" si="11"/>
        <v>26666.666666666668</v>
      </c>
      <c r="K12" s="34">
        <f t="shared" si="11"/>
        <v>26666.666666666668</v>
      </c>
      <c r="L12" s="34">
        <f t="shared" si="11"/>
        <v>26666.666666666668</v>
      </c>
      <c r="M12" s="34">
        <f t="shared" si="11"/>
        <v>26666.666666666668</v>
      </c>
      <c r="N12" s="34">
        <f t="shared" si="11"/>
        <v>26666.666666666668</v>
      </c>
      <c r="O12" s="118">
        <f t="shared" si="11"/>
        <v>248333.3333333333</v>
      </c>
      <c r="P12" s="34">
        <f t="shared" si="11"/>
        <v>36079.166666666664</v>
      </c>
      <c r="Q12" s="34">
        <f t="shared" si="11"/>
        <v>36079.166666666664</v>
      </c>
      <c r="R12" s="34">
        <f t="shared" si="11"/>
        <v>36079.166666666664</v>
      </c>
      <c r="S12" s="34">
        <f t="shared" si="11"/>
        <v>36079.166666666664</v>
      </c>
      <c r="T12" s="34">
        <f t="shared" si="11"/>
        <v>36079.166666666664</v>
      </c>
      <c r="U12" s="34">
        <f t="shared" si="11"/>
        <v>36079.166666666664</v>
      </c>
      <c r="V12" s="34">
        <f t="shared" si="11"/>
        <v>46912.5</v>
      </c>
      <c r="W12" s="34">
        <f t="shared" si="11"/>
        <v>46912.5</v>
      </c>
      <c r="X12" s="34">
        <f t="shared" si="11"/>
        <v>49412.5</v>
      </c>
      <c r="Y12" s="34">
        <f t="shared" si="11"/>
        <v>49412.5</v>
      </c>
      <c r="Z12" s="34">
        <f t="shared" si="11"/>
        <v>49412.5</v>
      </c>
      <c r="AA12" s="34">
        <f t="shared" si="11"/>
        <v>49412.5</v>
      </c>
      <c r="AB12" s="131">
        <f t="shared" si="2"/>
        <v>507950</v>
      </c>
      <c r="AC12" s="34">
        <f>SUM(AC5:AC11)</f>
        <v>594897.5</v>
      </c>
      <c r="AD12" s="34">
        <f>SUM(AD5:AD11)</f>
        <v>624436.375</v>
      </c>
      <c r="AE12" s="34">
        <f>SUM(AE5:AE11)</f>
        <v>655446.0137499999</v>
      </c>
    </row>
    <row r="13" spans="2:31" ht="11.25">
      <c r="B13" s="29" t="s">
        <v>29</v>
      </c>
      <c r="D13" s="34"/>
      <c r="E13" s="37">
        <f aca="true" t="shared" si="12" ref="E13:AE13">COUNTIF(E5:E11,"&gt;0")</f>
        <v>2</v>
      </c>
      <c r="F13" s="37">
        <f t="shared" si="12"/>
        <v>2</v>
      </c>
      <c r="G13" s="37">
        <f t="shared" si="12"/>
        <v>4</v>
      </c>
      <c r="H13" s="37">
        <f t="shared" si="12"/>
        <v>4</v>
      </c>
      <c r="I13" s="37">
        <f t="shared" si="12"/>
        <v>4</v>
      </c>
      <c r="J13" s="37">
        <f t="shared" si="12"/>
        <v>4</v>
      </c>
      <c r="K13" s="37">
        <f t="shared" si="12"/>
        <v>4</v>
      </c>
      <c r="L13" s="37">
        <f t="shared" si="12"/>
        <v>4</v>
      </c>
      <c r="M13" s="37">
        <f t="shared" si="12"/>
        <v>4</v>
      </c>
      <c r="N13" s="128">
        <f t="shared" si="12"/>
        <v>4</v>
      </c>
      <c r="O13" s="118">
        <f t="shared" si="12"/>
        <v>4</v>
      </c>
      <c r="P13" s="37">
        <f t="shared" si="12"/>
        <v>5</v>
      </c>
      <c r="Q13" s="37">
        <f t="shared" si="12"/>
        <v>5</v>
      </c>
      <c r="R13" s="37">
        <f t="shared" si="12"/>
        <v>5</v>
      </c>
      <c r="S13" s="37">
        <f t="shared" si="12"/>
        <v>5</v>
      </c>
      <c r="T13" s="37">
        <f t="shared" si="12"/>
        <v>5</v>
      </c>
      <c r="U13" s="37">
        <f t="shared" si="12"/>
        <v>5</v>
      </c>
      <c r="V13" s="37">
        <f t="shared" si="12"/>
        <v>6</v>
      </c>
      <c r="W13" s="37">
        <f t="shared" si="12"/>
        <v>6</v>
      </c>
      <c r="X13" s="37">
        <f t="shared" si="12"/>
        <v>7</v>
      </c>
      <c r="Y13" s="37">
        <f t="shared" si="12"/>
        <v>7</v>
      </c>
      <c r="Z13" s="37">
        <f t="shared" si="12"/>
        <v>7</v>
      </c>
      <c r="AA13" s="37">
        <f t="shared" si="12"/>
        <v>7</v>
      </c>
      <c r="AB13" s="131">
        <f t="shared" si="12"/>
        <v>7</v>
      </c>
      <c r="AC13" s="34">
        <f t="shared" si="12"/>
        <v>7</v>
      </c>
      <c r="AD13" s="34">
        <f t="shared" si="12"/>
        <v>7</v>
      </c>
      <c r="AE13" s="34">
        <f t="shared" si="12"/>
        <v>7</v>
      </c>
    </row>
    <row r="14" spans="4:31" ht="11.25"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118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131"/>
      <c r="AC14" s="34"/>
      <c r="AD14" s="34"/>
      <c r="AE14" s="34"/>
    </row>
    <row r="15" spans="1:31" ht="12">
      <c r="A15" s="48" t="s">
        <v>3</v>
      </c>
      <c r="B15" s="31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118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131"/>
      <c r="AC15" s="34"/>
      <c r="AD15" s="34"/>
      <c r="AE15" s="34"/>
    </row>
    <row r="16" spans="3:31" ht="11.25">
      <c r="C16" s="29" t="s">
        <v>17</v>
      </c>
      <c r="D16" s="34">
        <v>150000</v>
      </c>
      <c r="E16" s="34"/>
      <c r="F16" s="34"/>
      <c r="G16" s="34"/>
      <c r="H16" s="34"/>
      <c r="I16" s="34"/>
      <c r="J16" s="34"/>
      <c r="K16" s="34"/>
      <c r="L16" s="34">
        <f>$D16/12</f>
        <v>12500</v>
      </c>
      <c r="M16" s="34">
        <f>$D16/12</f>
        <v>12500</v>
      </c>
      <c r="N16" s="34">
        <f>$D16/12</f>
        <v>12500</v>
      </c>
      <c r="O16" s="118">
        <f>SUM(E16:N16)</f>
        <v>37500</v>
      </c>
      <c r="P16" s="37">
        <f>$D16*1.03/12</f>
        <v>12875</v>
      </c>
      <c r="Q16" s="37">
        <f aca="true" t="shared" si="13" ref="Q16:AA17">$D16*1.03/12</f>
        <v>12875</v>
      </c>
      <c r="R16" s="37">
        <f t="shared" si="13"/>
        <v>12875</v>
      </c>
      <c r="S16" s="37">
        <f t="shared" si="13"/>
        <v>12875</v>
      </c>
      <c r="T16" s="37">
        <f t="shared" si="13"/>
        <v>12875</v>
      </c>
      <c r="U16" s="37">
        <f t="shared" si="13"/>
        <v>12875</v>
      </c>
      <c r="V16" s="37">
        <f t="shared" si="13"/>
        <v>12875</v>
      </c>
      <c r="W16" s="37">
        <f t="shared" si="13"/>
        <v>12875</v>
      </c>
      <c r="X16" s="37">
        <f t="shared" si="13"/>
        <v>12875</v>
      </c>
      <c r="Y16" s="37">
        <f t="shared" si="13"/>
        <v>12875</v>
      </c>
      <c r="Z16" s="37">
        <f t="shared" si="13"/>
        <v>12875</v>
      </c>
      <c r="AA16" s="37">
        <f t="shared" si="13"/>
        <v>12875</v>
      </c>
      <c r="AB16" s="131">
        <f>SUM(P16:AA16)</f>
        <v>154500</v>
      </c>
      <c r="AC16" s="34">
        <f aca="true" t="shared" si="14" ref="AC16:AE17">AB16*1.05</f>
        <v>162225</v>
      </c>
      <c r="AD16" s="34">
        <f t="shared" si="14"/>
        <v>170336.25</v>
      </c>
      <c r="AE16" s="34">
        <f t="shared" si="14"/>
        <v>178853.0625</v>
      </c>
    </row>
    <row r="17" spans="3:31" ht="11.25">
      <c r="C17" s="29" t="s">
        <v>137</v>
      </c>
      <c r="D17" s="34">
        <v>75000</v>
      </c>
      <c r="E17" s="34"/>
      <c r="F17" s="34"/>
      <c r="G17" s="34"/>
      <c r="H17" s="34"/>
      <c r="I17" s="34"/>
      <c r="J17" s="34"/>
      <c r="K17" s="34"/>
      <c r="L17" s="34"/>
      <c r="M17" s="34"/>
      <c r="N17" s="34">
        <f>$D17/12</f>
        <v>6250</v>
      </c>
      <c r="O17" s="118">
        <f>SUM(E17:N17)</f>
        <v>6250</v>
      </c>
      <c r="P17" s="37">
        <f>$D17*1.03/12</f>
        <v>6437.5</v>
      </c>
      <c r="Q17" s="37">
        <f t="shared" si="13"/>
        <v>6437.5</v>
      </c>
      <c r="R17" s="37">
        <f t="shared" si="13"/>
        <v>6437.5</v>
      </c>
      <c r="S17" s="37">
        <f t="shared" si="13"/>
        <v>6437.5</v>
      </c>
      <c r="T17" s="37">
        <f t="shared" si="13"/>
        <v>6437.5</v>
      </c>
      <c r="U17" s="37">
        <f t="shared" si="13"/>
        <v>6437.5</v>
      </c>
      <c r="V17" s="37">
        <f t="shared" si="13"/>
        <v>6437.5</v>
      </c>
      <c r="W17" s="37">
        <f t="shared" si="13"/>
        <v>6437.5</v>
      </c>
      <c r="X17" s="37">
        <f t="shared" si="13"/>
        <v>6437.5</v>
      </c>
      <c r="Y17" s="37">
        <f t="shared" si="13"/>
        <v>6437.5</v>
      </c>
      <c r="Z17" s="37">
        <f t="shared" si="13"/>
        <v>6437.5</v>
      </c>
      <c r="AA17" s="37">
        <f t="shared" si="13"/>
        <v>6437.5</v>
      </c>
      <c r="AB17" s="131">
        <f>SUM(P17:AA17)</f>
        <v>77250</v>
      </c>
      <c r="AC17" s="34">
        <f t="shared" si="14"/>
        <v>81112.5</v>
      </c>
      <c r="AD17" s="34">
        <f t="shared" si="14"/>
        <v>85168.125</v>
      </c>
      <c r="AE17" s="34">
        <f t="shared" si="14"/>
        <v>89426.53125</v>
      </c>
    </row>
    <row r="18" spans="3:31" ht="11.25">
      <c r="C18" s="29" t="s">
        <v>137</v>
      </c>
      <c r="D18" s="34">
        <v>75000</v>
      </c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118"/>
      <c r="P18" s="37"/>
      <c r="Q18" s="37"/>
      <c r="R18" s="37"/>
      <c r="S18" s="37"/>
      <c r="T18" s="37"/>
      <c r="U18" s="37"/>
      <c r="V18" s="37"/>
      <c r="W18" s="37"/>
      <c r="X18" s="37">
        <f aca="true" t="shared" si="15" ref="W18:AA20">$D18/12</f>
        <v>6250</v>
      </c>
      <c r="Y18" s="37">
        <f t="shared" si="15"/>
        <v>6250</v>
      </c>
      <c r="Z18" s="37">
        <f t="shared" si="15"/>
        <v>6250</v>
      </c>
      <c r="AA18" s="37">
        <f t="shared" si="15"/>
        <v>6250</v>
      </c>
      <c r="AB18" s="131">
        <f>SUM(P18:AA18)</f>
        <v>25000</v>
      </c>
      <c r="AC18" s="34">
        <f>$D18*1.05</f>
        <v>78750</v>
      </c>
      <c r="AD18" s="34">
        <f>AC18*1.05</f>
        <v>82687.5</v>
      </c>
      <c r="AE18" s="34">
        <f>AD18*1.05</f>
        <v>86821.875</v>
      </c>
    </row>
    <row r="19" spans="3:31" ht="11.25">
      <c r="C19" s="29" t="s">
        <v>137</v>
      </c>
      <c r="D19" s="34">
        <v>75000</v>
      </c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118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131"/>
      <c r="AC19" s="34">
        <f>$D19</f>
        <v>75000</v>
      </c>
      <c r="AD19" s="34">
        <f>AC19*1.05</f>
        <v>78750</v>
      </c>
      <c r="AE19" s="34">
        <f>AD19*1.05</f>
        <v>82687.5</v>
      </c>
    </row>
    <row r="20" spans="3:31" ht="12" thickBot="1">
      <c r="C20" s="29" t="s">
        <v>24</v>
      </c>
      <c r="D20" s="34">
        <v>35000</v>
      </c>
      <c r="E20" s="34"/>
      <c r="F20" s="34"/>
      <c r="G20" s="34"/>
      <c r="H20" s="34"/>
      <c r="I20" s="34"/>
      <c r="J20" s="34"/>
      <c r="K20" s="34"/>
      <c r="L20" s="35"/>
      <c r="M20" s="35"/>
      <c r="N20" s="35"/>
      <c r="O20" s="120"/>
      <c r="P20" s="116"/>
      <c r="Q20" s="35"/>
      <c r="R20" s="35"/>
      <c r="S20" s="35"/>
      <c r="T20" s="35"/>
      <c r="U20" s="35"/>
      <c r="V20" s="35">
        <f>$D20/12</f>
        <v>2916.6666666666665</v>
      </c>
      <c r="W20" s="35">
        <f t="shared" si="15"/>
        <v>2916.6666666666665</v>
      </c>
      <c r="X20" s="35">
        <f t="shared" si="15"/>
        <v>2916.6666666666665</v>
      </c>
      <c r="Y20" s="35">
        <f t="shared" si="15"/>
        <v>2916.6666666666665</v>
      </c>
      <c r="Z20" s="35">
        <f t="shared" si="15"/>
        <v>2916.6666666666665</v>
      </c>
      <c r="AA20" s="35">
        <f t="shared" si="15"/>
        <v>2916.6666666666665</v>
      </c>
      <c r="AB20" s="116">
        <f>SUM(P20:AA20)</f>
        <v>17500</v>
      </c>
      <c r="AC20" s="35">
        <f>AB20*1.03</f>
        <v>18025</v>
      </c>
      <c r="AD20" s="35">
        <f>AC20*1.03</f>
        <v>18565.75</v>
      </c>
      <c r="AE20" s="35">
        <f>AD20*1.03</f>
        <v>19122.7225</v>
      </c>
    </row>
    <row r="21" spans="2:31" ht="11.25">
      <c r="B21" s="29" t="s">
        <v>138</v>
      </c>
      <c r="D21" s="34"/>
      <c r="E21" s="34"/>
      <c r="F21" s="34"/>
      <c r="G21" s="34"/>
      <c r="H21" s="34"/>
      <c r="I21" s="34"/>
      <c r="J21" s="34"/>
      <c r="K21" s="34"/>
      <c r="L21" s="34">
        <f>SUM(L16:L20)</f>
        <v>12500</v>
      </c>
      <c r="M21" s="34">
        <f>SUM(M16:M20)</f>
        <v>12500</v>
      </c>
      <c r="N21" s="34">
        <f>SUM(N16:N20)</f>
        <v>18750</v>
      </c>
      <c r="O21" s="131">
        <f>SUM(O16:O20)</f>
        <v>43750</v>
      </c>
      <c r="P21" s="132">
        <f aca="true" t="shared" si="16" ref="P21:AA21">SUM(P16:P20)</f>
        <v>19312.5</v>
      </c>
      <c r="Q21" s="37">
        <f t="shared" si="16"/>
        <v>19312.5</v>
      </c>
      <c r="R21" s="37">
        <f t="shared" si="16"/>
        <v>19312.5</v>
      </c>
      <c r="S21" s="37">
        <f t="shared" si="16"/>
        <v>19312.5</v>
      </c>
      <c r="T21" s="37">
        <f t="shared" si="16"/>
        <v>19312.5</v>
      </c>
      <c r="U21" s="37">
        <f t="shared" si="16"/>
        <v>19312.5</v>
      </c>
      <c r="V21" s="37">
        <f t="shared" si="16"/>
        <v>22229.166666666668</v>
      </c>
      <c r="W21" s="37">
        <f t="shared" si="16"/>
        <v>22229.166666666668</v>
      </c>
      <c r="X21" s="37">
        <f t="shared" si="16"/>
        <v>28479.166666666668</v>
      </c>
      <c r="Y21" s="37">
        <f t="shared" si="16"/>
        <v>28479.166666666668</v>
      </c>
      <c r="Z21" s="37">
        <f t="shared" si="16"/>
        <v>28479.166666666668</v>
      </c>
      <c r="AA21" s="37">
        <f t="shared" si="16"/>
        <v>28479.166666666668</v>
      </c>
      <c r="AB21" s="131">
        <f>SUM(P21:AA21)</f>
        <v>274249.99999999994</v>
      </c>
      <c r="AC21" s="37">
        <f>AB21*1.03</f>
        <v>282477.49999999994</v>
      </c>
      <c r="AD21" s="34">
        <f>SUM(AD16:AD20)</f>
        <v>435507.625</v>
      </c>
      <c r="AE21" s="34">
        <f>SUM(AE16:AE20)</f>
        <v>456911.69125</v>
      </c>
    </row>
    <row r="22" spans="3:31" ht="12" thickBot="1">
      <c r="C22" s="36" t="s">
        <v>218</v>
      </c>
      <c r="D22" s="34"/>
      <c r="E22" s="34"/>
      <c r="F22" s="34"/>
      <c r="G22" s="34"/>
      <c r="H22" s="34"/>
      <c r="I22" s="34"/>
      <c r="J22" s="34"/>
      <c r="K22" s="34"/>
      <c r="L22" s="35">
        <f aca="true" t="shared" si="17" ref="L22:AA22">L21*1</f>
        <v>12500</v>
      </c>
      <c r="M22" s="35">
        <f t="shared" si="17"/>
        <v>12500</v>
      </c>
      <c r="N22" s="35">
        <f t="shared" si="17"/>
        <v>18750</v>
      </c>
      <c r="O22" s="120">
        <f>O21*1</f>
        <v>43750</v>
      </c>
      <c r="P22" s="35">
        <f t="shared" si="17"/>
        <v>19312.5</v>
      </c>
      <c r="Q22" s="35">
        <f t="shared" si="17"/>
        <v>19312.5</v>
      </c>
      <c r="R22" s="35">
        <f t="shared" si="17"/>
        <v>19312.5</v>
      </c>
      <c r="S22" s="35">
        <f t="shared" si="17"/>
        <v>19312.5</v>
      </c>
      <c r="T22" s="35">
        <f t="shared" si="17"/>
        <v>19312.5</v>
      </c>
      <c r="U22" s="35">
        <f t="shared" si="17"/>
        <v>19312.5</v>
      </c>
      <c r="V22" s="35">
        <f t="shared" si="17"/>
        <v>22229.166666666668</v>
      </c>
      <c r="W22" s="35">
        <f t="shared" si="17"/>
        <v>22229.166666666668</v>
      </c>
      <c r="X22" s="35">
        <f t="shared" si="17"/>
        <v>28479.166666666668</v>
      </c>
      <c r="Y22" s="35">
        <f t="shared" si="17"/>
        <v>28479.166666666668</v>
      </c>
      <c r="Z22" s="35">
        <f t="shared" si="17"/>
        <v>28479.166666666668</v>
      </c>
      <c r="AA22" s="35">
        <f t="shared" si="17"/>
        <v>28479.166666666668</v>
      </c>
      <c r="AB22" s="116">
        <f>SUM(P22:AA22)</f>
        <v>274249.99999999994</v>
      </c>
      <c r="AC22" s="35">
        <f>AB22*1.03</f>
        <v>282477.49999999994</v>
      </c>
      <c r="AD22" s="35">
        <f>AD21*1</f>
        <v>435507.625</v>
      </c>
      <c r="AE22" s="35">
        <f>AE21*1</f>
        <v>456911.69125</v>
      </c>
    </row>
    <row r="23" spans="3:31" ht="11.25">
      <c r="C23" s="29" t="s">
        <v>18</v>
      </c>
      <c r="D23" s="37">
        <v>90000</v>
      </c>
      <c r="E23" s="37"/>
      <c r="F23" s="37"/>
      <c r="G23" s="37"/>
      <c r="H23" s="37"/>
      <c r="I23" s="37"/>
      <c r="J23" s="37"/>
      <c r="K23" s="37"/>
      <c r="L23" s="37"/>
      <c r="M23" s="34">
        <f>$D23/12</f>
        <v>7500</v>
      </c>
      <c r="N23" s="34">
        <f>$D23/12</f>
        <v>7500</v>
      </c>
      <c r="O23" s="118">
        <f>SUM(E23:N23)</f>
        <v>15000</v>
      </c>
      <c r="P23" s="37">
        <f>$D23*1.03/12</f>
        <v>7725</v>
      </c>
      <c r="Q23" s="37">
        <f>$D23*1.03/12</f>
        <v>7725</v>
      </c>
      <c r="R23" s="37">
        <f aca="true" t="shared" si="18" ref="R23:AA23">$D23*1.03/12</f>
        <v>7725</v>
      </c>
      <c r="S23" s="37">
        <f t="shared" si="18"/>
        <v>7725</v>
      </c>
      <c r="T23" s="37">
        <f t="shared" si="18"/>
        <v>7725</v>
      </c>
      <c r="U23" s="37">
        <f t="shared" si="18"/>
        <v>7725</v>
      </c>
      <c r="V23" s="37">
        <f t="shared" si="18"/>
        <v>7725</v>
      </c>
      <c r="W23" s="37">
        <f t="shared" si="18"/>
        <v>7725</v>
      </c>
      <c r="X23" s="37">
        <f t="shared" si="18"/>
        <v>7725</v>
      </c>
      <c r="Y23" s="37">
        <f t="shared" si="18"/>
        <v>7725</v>
      </c>
      <c r="Z23" s="37">
        <f t="shared" si="18"/>
        <v>7725</v>
      </c>
      <c r="AA23" s="37">
        <f t="shared" si="18"/>
        <v>7725</v>
      </c>
      <c r="AB23" s="131">
        <f>SUM(P23:AA23)</f>
        <v>92700</v>
      </c>
      <c r="AC23" s="37">
        <f>AB23*1.03</f>
        <v>95481</v>
      </c>
      <c r="AD23" s="37">
        <f>AC23*1.05</f>
        <v>100255.05</v>
      </c>
      <c r="AE23" s="37">
        <f>AD23*1.05</f>
        <v>105267.8025</v>
      </c>
    </row>
    <row r="24" spans="3:31" ht="12" thickBot="1">
      <c r="C24" s="29" t="s">
        <v>170</v>
      </c>
      <c r="D24" s="34">
        <v>55000</v>
      </c>
      <c r="E24" s="34"/>
      <c r="F24" s="34"/>
      <c r="G24" s="34"/>
      <c r="H24" s="34"/>
      <c r="I24" s="34"/>
      <c r="J24" s="34"/>
      <c r="K24" s="34"/>
      <c r="L24" s="34"/>
      <c r="M24" s="35"/>
      <c r="N24" s="35"/>
      <c r="O24" s="119"/>
      <c r="P24" s="35">
        <f aca="true" t="shared" si="19" ref="P24:AA24">$D24/12</f>
        <v>4583.333333333333</v>
      </c>
      <c r="Q24" s="35">
        <f t="shared" si="19"/>
        <v>4583.333333333333</v>
      </c>
      <c r="R24" s="35">
        <f t="shared" si="19"/>
        <v>4583.333333333333</v>
      </c>
      <c r="S24" s="35">
        <f t="shared" si="19"/>
        <v>4583.333333333333</v>
      </c>
      <c r="T24" s="35">
        <f t="shared" si="19"/>
        <v>4583.333333333333</v>
      </c>
      <c r="U24" s="35">
        <f t="shared" si="19"/>
        <v>4583.333333333333</v>
      </c>
      <c r="V24" s="35">
        <f t="shared" si="19"/>
        <v>4583.333333333333</v>
      </c>
      <c r="W24" s="35">
        <f t="shared" si="19"/>
        <v>4583.333333333333</v>
      </c>
      <c r="X24" s="35">
        <f t="shared" si="19"/>
        <v>4583.333333333333</v>
      </c>
      <c r="Y24" s="35">
        <f t="shared" si="19"/>
        <v>4583.333333333333</v>
      </c>
      <c r="Z24" s="35">
        <f t="shared" si="19"/>
        <v>4583.333333333333</v>
      </c>
      <c r="AA24" s="35">
        <f t="shared" si="19"/>
        <v>4583.333333333333</v>
      </c>
      <c r="AB24" s="116">
        <f>SUM(P24:AA24)</f>
        <v>55000.00000000001</v>
      </c>
      <c r="AC24" s="35">
        <f>AB24*1.03</f>
        <v>56650.00000000001</v>
      </c>
      <c r="AD24" s="35">
        <f>AC24*1.05</f>
        <v>59482.50000000001</v>
      </c>
      <c r="AE24" s="35">
        <f>AD24*1.05</f>
        <v>62456.62500000001</v>
      </c>
    </row>
    <row r="25" spans="2:31" ht="12" thickBot="1">
      <c r="B25" s="29" t="s">
        <v>220</v>
      </c>
      <c r="D25" s="34"/>
      <c r="E25" s="34"/>
      <c r="F25" s="34"/>
      <c r="G25" s="34"/>
      <c r="H25" s="34"/>
      <c r="I25" s="34"/>
      <c r="J25" s="34"/>
      <c r="K25" s="34"/>
      <c r="L25" s="35"/>
      <c r="M25" s="35">
        <f>SUM(M23:M24)</f>
        <v>7500</v>
      </c>
      <c r="N25" s="35">
        <f>SUM(N23:N24)</f>
        <v>7500</v>
      </c>
      <c r="O25" s="120">
        <f>SUM(E25:N25)</f>
        <v>15000</v>
      </c>
      <c r="P25" s="35">
        <f>SUM(P23:P24)</f>
        <v>12308.333333333332</v>
      </c>
      <c r="Q25" s="35">
        <f aca="true" t="shared" si="20" ref="Q25:AA25">SUM(Q23:Q24)</f>
        <v>12308.333333333332</v>
      </c>
      <c r="R25" s="35">
        <f t="shared" si="20"/>
        <v>12308.333333333332</v>
      </c>
      <c r="S25" s="35">
        <f t="shared" si="20"/>
        <v>12308.333333333332</v>
      </c>
      <c r="T25" s="35">
        <f t="shared" si="20"/>
        <v>12308.333333333332</v>
      </c>
      <c r="U25" s="35">
        <f t="shared" si="20"/>
        <v>12308.333333333332</v>
      </c>
      <c r="V25" s="35">
        <f t="shared" si="20"/>
        <v>12308.333333333332</v>
      </c>
      <c r="W25" s="35">
        <f t="shared" si="20"/>
        <v>12308.333333333332</v>
      </c>
      <c r="X25" s="35">
        <f t="shared" si="20"/>
        <v>12308.333333333332</v>
      </c>
      <c r="Y25" s="35">
        <f t="shared" si="20"/>
        <v>12308.333333333332</v>
      </c>
      <c r="Z25" s="35">
        <f t="shared" si="20"/>
        <v>12308.333333333332</v>
      </c>
      <c r="AA25" s="35">
        <f t="shared" si="20"/>
        <v>12308.333333333332</v>
      </c>
      <c r="AB25" s="116">
        <f>SUM(AB23:AB24)</f>
        <v>147700</v>
      </c>
      <c r="AC25" s="35">
        <f>AB25*1.03</f>
        <v>152131</v>
      </c>
      <c r="AD25" s="35">
        <f>SUM(AD23:AD24)</f>
        <v>159737.55000000002</v>
      </c>
      <c r="AE25" s="35">
        <f>SUM(AE23:AE24)</f>
        <v>167724.42750000002</v>
      </c>
    </row>
    <row r="26" spans="2:31" ht="11.25">
      <c r="B26" s="29" t="s">
        <v>139</v>
      </c>
      <c r="D26" s="34"/>
      <c r="E26" s="34"/>
      <c r="F26" s="34"/>
      <c r="G26" s="34"/>
      <c r="H26" s="34"/>
      <c r="I26" s="34"/>
      <c r="J26" s="34"/>
      <c r="K26" s="34"/>
      <c r="L26" s="34">
        <f>L21+L22+L25</f>
        <v>25000</v>
      </c>
      <c r="M26" s="34">
        <f>M21+M22+M25</f>
        <v>32500</v>
      </c>
      <c r="N26" s="34">
        <f>N21+N22+N25</f>
        <v>45000</v>
      </c>
      <c r="O26" s="133">
        <f>O21+O22+O25</f>
        <v>102500</v>
      </c>
      <c r="P26" s="34">
        <f>P21+P22+P25</f>
        <v>50933.33333333333</v>
      </c>
      <c r="Q26" s="34">
        <f aca="true" t="shared" si="21" ref="Q26:AA26">Q21+Q22+Q25</f>
        <v>50933.33333333333</v>
      </c>
      <c r="R26" s="34">
        <f t="shared" si="21"/>
        <v>50933.33333333333</v>
      </c>
      <c r="S26" s="34">
        <f t="shared" si="21"/>
        <v>50933.33333333333</v>
      </c>
      <c r="T26" s="34">
        <f t="shared" si="21"/>
        <v>50933.33333333333</v>
      </c>
      <c r="U26" s="34">
        <f t="shared" si="21"/>
        <v>50933.33333333333</v>
      </c>
      <c r="V26" s="34">
        <f t="shared" si="21"/>
        <v>56766.66666666667</v>
      </c>
      <c r="W26" s="34">
        <f t="shared" si="21"/>
        <v>56766.66666666667</v>
      </c>
      <c r="X26" s="34">
        <f t="shared" si="21"/>
        <v>69266.66666666667</v>
      </c>
      <c r="Y26" s="34">
        <f t="shared" si="21"/>
        <v>69266.66666666667</v>
      </c>
      <c r="Z26" s="34">
        <f t="shared" si="21"/>
        <v>69266.66666666667</v>
      </c>
      <c r="AA26" s="34">
        <f t="shared" si="21"/>
        <v>69266.66666666667</v>
      </c>
      <c r="AB26" s="132">
        <f>AB21+AB22+AB25</f>
        <v>696199.9999999999</v>
      </c>
      <c r="AC26" s="34">
        <f>AC21+AC22+AC25</f>
        <v>717085.9999999999</v>
      </c>
      <c r="AD26" s="34">
        <f>AD21+AD22+AD25</f>
        <v>1030752.8</v>
      </c>
      <c r="AE26" s="34">
        <f>AE21+AE22+AE25</f>
        <v>1081547.81</v>
      </c>
    </row>
    <row r="27" spans="2:31" ht="11.25">
      <c r="B27" s="29" t="s">
        <v>31</v>
      </c>
      <c r="D27" s="34"/>
      <c r="E27" s="34"/>
      <c r="F27" s="34"/>
      <c r="G27" s="34"/>
      <c r="H27" s="34"/>
      <c r="I27" s="34"/>
      <c r="J27" s="34"/>
      <c r="K27" s="34"/>
      <c r="L27" s="37">
        <f aca="true" t="shared" si="22" ref="L27:AA27">COUNTIF(L16:L20,"&gt;0")+COUNTIF(L23:L24,"&gt;0")</f>
        <v>1</v>
      </c>
      <c r="M27" s="37">
        <f t="shared" si="22"/>
        <v>2</v>
      </c>
      <c r="N27" s="37">
        <f t="shared" si="22"/>
        <v>3</v>
      </c>
      <c r="O27" s="118">
        <f>COUNTIF(O16:O20,"&gt;0")+COUNTIF(O23:O24,"&gt;0")</f>
        <v>3</v>
      </c>
      <c r="P27" s="37">
        <f t="shared" si="22"/>
        <v>4</v>
      </c>
      <c r="Q27" s="37">
        <f t="shared" si="22"/>
        <v>4</v>
      </c>
      <c r="R27" s="37">
        <f t="shared" si="22"/>
        <v>4</v>
      </c>
      <c r="S27" s="37">
        <f t="shared" si="22"/>
        <v>4</v>
      </c>
      <c r="T27" s="37">
        <f t="shared" si="22"/>
        <v>4</v>
      </c>
      <c r="U27" s="37">
        <f t="shared" si="22"/>
        <v>4</v>
      </c>
      <c r="V27" s="37">
        <f t="shared" si="22"/>
        <v>5</v>
      </c>
      <c r="W27" s="37">
        <f t="shared" si="22"/>
        <v>5</v>
      </c>
      <c r="X27" s="37">
        <f t="shared" si="22"/>
        <v>6</v>
      </c>
      <c r="Y27" s="37">
        <f t="shared" si="22"/>
        <v>6</v>
      </c>
      <c r="Z27" s="37">
        <f t="shared" si="22"/>
        <v>6</v>
      </c>
      <c r="AA27" s="37">
        <f t="shared" si="22"/>
        <v>6</v>
      </c>
      <c r="AB27" s="131">
        <f>COUNTIF(AB16:AB20,"&gt;0")+COUNTIF(AB23:AB24,"&gt;0")</f>
        <v>6</v>
      </c>
      <c r="AC27" s="34">
        <f>COUNTIF(AC16:AC20,"&gt;0")+COUNTIF(AC23:AC24,"&gt;0")</f>
        <v>7</v>
      </c>
      <c r="AD27" s="34">
        <f>COUNTIF(AD16:AD20,"&gt;0")+COUNTIF(AD23:AD24,"&gt;0")</f>
        <v>7</v>
      </c>
      <c r="AE27" s="34">
        <f>COUNTIF(AE16:AE20,"&gt;0")+COUNTIF(AE23:AE24,"&gt;0")</f>
        <v>7</v>
      </c>
    </row>
    <row r="28" spans="4:31" ht="11.25"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118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131"/>
      <c r="AC28" s="34"/>
      <c r="AD28" s="34"/>
      <c r="AE28" s="34"/>
    </row>
    <row r="29" spans="1:31" ht="12">
      <c r="A29" s="48" t="s">
        <v>9</v>
      </c>
      <c r="B29" s="31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118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131"/>
      <c r="AC29" s="34"/>
      <c r="AD29" s="34"/>
      <c r="AE29" s="34"/>
    </row>
    <row r="30" spans="1:31" ht="11.25">
      <c r="A30" s="31"/>
      <c r="B30" s="31"/>
      <c r="C30" s="29" t="s">
        <v>171</v>
      </c>
      <c r="D30" s="34">
        <v>140000</v>
      </c>
      <c r="E30" s="34">
        <f>$D30/12</f>
        <v>11666.666666666666</v>
      </c>
      <c r="F30" s="34">
        <f aca="true" t="shared" si="23" ref="F30:N30">$D30/12</f>
        <v>11666.666666666666</v>
      </c>
      <c r="G30" s="34">
        <f t="shared" si="23"/>
        <v>11666.666666666666</v>
      </c>
      <c r="H30" s="34">
        <f t="shared" si="23"/>
        <v>11666.666666666666</v>
      </c>
      <c r="I30" s="34">
        <f t="shared" si="23"/>
        <v>11666.666666666666</v>
      </c>
      <c r="J30" s="34">
        <f t="shared" si="23"/>
        <v>11666.666666666666</v>
      </c>
      <c r="K30" s="34">
        <f t="shared" si="23"/>
        <v>11666.666666666666</v>
      </c>
      <c r="L30" s="34">
        <f t="shared" si="23"/>
        <v>11666.666666666666</v>
      </c>
      <c r="M30" s="34">
        <f t="shared" si="23"/>
        <v>11666.666666666666</v>
      </c>
      <c r="N30" s="34">
        <f t="shared" si="23"/>
        <v>11666.666666666666</v>
      </c>
      <c r="O30" s="118">
        <f aca="true" t="shared" si="24" ref="O30:O35">SUM(E30:N30)</f>
        <v>116666.66666666669</v>
      </c>
      <c r="P30" s="37">
        <f aca="true" t="shared" si="25" ref="P30:P35">$D30*1.03/12</f>
        <v>12016.666666666666</v>
      </c>
      <c r="Q30" s="37">
        <f aca="true" t="shared" si="26" ref="Q30:AA35">$D30*1.03/12</f>
        <v>12016.666666666666</v>
      </c>
      <c r="R30" s="37">
        <f t="shared" si="26"/>
        <v>12016.666666666666</v>
      </c>
      <c r="S30" s="37">
        <f t="shared" si="26"/>
        <v>12016.666666666666</v>
      </c>
      <c r="T30" s="37">
        <f t="shared" si="26"/>
        <v>12016.666666666666</v>
      </c>
      <c r="U30" s="37">
        <f t="shared" si="26"/>
        <v>12016.666666666666</v>
      </c>
      <c r="V30" s="37">
        <f t="shared" si="26"/>
        <v>12016.666666666666</v>
      </c>
      <c r="W30" s="37">
        <f t="shared" si="26"/>
        <v>12016.666666666666</v>
      </c>
      <c r="X30" s="37">
        <f t="shared" si="26"/>
        <v>12016.666666666666</v>
      </c>
      <c r="Y30" s="37">
        <f t="shared" si="26"/>
        <v>12016.666666666666</v>
      </c>
      <c r="Z30" s="37">
        <f t="shared" si="26"/>
        <v>12016.666666666666</v>
      </c>
      <c r="AA30" s="37">
        <f t="shared" si="26"/>
        <v>12016.666666666666</v>
      </c>
      <c r="AB30" s="131">
        <f>SUM(P30:AA30)</f>
        <v>144200</v>
      </c>
      <c r="AC30" s="34">
        <f>AB30*1.05</f>
        <v>151410</v>
      </c>
      <c r="AD30" s="34">
        <f>AC30*1.05</f>
        <v>158980.5</v>
      </c>
      <c r="AE30" s="34">
        <f>AD30*1.05</f>
        <v>166929.525</v>
      </c>
    </row>
    <row r="31" spans="3:31" ht="11.25">
      <c r="C31" s="29" t="s">
        <v>178</v>
      </c>
      <c r="D31" s="34">
        <v>120000</v>
      </c>
      <c r="E31" s="34">
        <f aca="true" t="shared" si="27" ref="E31:N35">$D31/12</f>
        <v>10000</v>
      </c>
      <c r="F31" s="34">
        <f t="shared" si="27"/>
        <v>10000</v>
      </c>
      <c r="G31" s="34">
        <f t="shared" si="27"/>
        <v>10000</v>
      </c>
      <c r="H31" s="34">
        <f t="shared" si="27"/>
        <v>10000</v>
      </c>
      <c r="I31" s="34">
        <f t="shared" si="27"/>
        <v>10000</v>
      </c>
      <c r="J31" s="34">
        <f t="shared" si="27"/>
        <v>10000</v>
      </c>
      <c r="K31" s="34">
        <f t="shared" si="27"/>
        <v>10000</v>
      </c>
      <c r="L31" s="34">
        <f t="shared" si="27"/>
        <v>10000</v>
      </c>
      <c r="M31" s="34">
        <f t="shared" si="27"/>
        <v>10000</v>
      </c>
      <c r="N31" s="34">
        <f t="shared" si="27"/>
        <v>10000</v>
      </c>
      <c r="O31" s="118">
        <f t="shared" si="24"/>
        <v>100000</v>
      </c>
      <c r="P31" s="37">
        <f t="shared" si="25"/>
        <v>10300</v>
      </c>
      <c r="Q31" s="37">
        <f t="shared" si="26"/>
        <v>10300</v>
      </c>
      <c r="R31" s="37">
        <f t="shared" si="26"/>
        <v>10300</v>
      </c>
      <c r="S31" s="37">
        <f t="shared" si="26"/>
        <v>10300</v>
      </c>
      <c r="T31" s="37">
        <f t="shared" si="26"/>
        <v>10300</v>
      </c>
      <c r="U31" s="37">
        <f t="shared" si="26"/>
        <v>10300</v>
      </c>
      <c r="V31" s="37">
        <f t="shared" si="26"/>
        <v>10300</v>
      </c>
      <c r="W31" s="37">
        <f t="shared" si="26"/>
        <v>10300</v>
      </c>
      <c r="X31" s="37">
        <f t="shared" si="26"/>
        <v>10300</v>
      </c>
      <c r="Y31" s="37">
        <f t="shared" si="26"/>
        <v>10300</v>
      </c>
      <c r="Z31" s="37">
        <f t="shared" si="26"/>
        <v>10300</v>
      </c>
      <c r="AA31" s="37">
        <f t="shared" si="26"/>
        <v>10300</v>
      </c>
      <c r="AB31" s="131">
        <f aca="true" t="shared" si="28" ref="AB31:AB38">SUM(P31:AA31)</f>
        <v>123600</v>
      </c>
      <c r="AC31" s="34">
        <f aca="true" t="shared" si="29" ref="AC31:AD38">AB31*1.05</f>
        <v>129780</v>
      </c>
      <c r="AD31" s="34">
        <f t="shared" si="29"/>
        <v>136269</v>
      </c>
      <c r="AE31" s="34">
        <f aca="true" t="shared" si="30" ref="AE31:AE40">AD31*1.05</f>
        <v>143082.45</v>
      </c>
    </row>
    <row r="32" spans="3:31" ht="11.25">
      <c r="C32" s="29" t="s">
        <v>11</v>
      </c>
      <c r="D32" s="34">
        <v>120000</v>
      </c>
      <c r="E32" s="34">
        <f t="shared" si="27"/>
        <v>10000</v>
      </c>
      <c r="F32" s="34">
        <f t="shared" si="27"/>
        <v>10000</v>
      </c>
      <c r="G32" s="34">
        <f t="shared" si="27"/>
        <v>10000</v>
      </c>
      <c r="H32" s="34">
        <f t="shared" si="27"/>
        <v>10000</v>
      </c>
      <c r="I32" s="34">
        <f t="shared" si="27"/>
        <v>10000</v>
      </c>
      <c r="J32" s="34">
        <f t="shared" si="27"/>
        <v>10000</v>
      </c>
      <c r="K32" s="34">
        <f t="shared" si="27"/>
        <v>10000</v>
      </c>
      <c r="L32" s="34">
        <f t="shared" si="27"/>
        <v>10000</v>
      </c>
      <c r="M32" s="34">
        <f t="shared" si="27"/>
        <v>10000</v>
      </c>
      <c r="N32" s="34">
        <f t="shared" si="27"/>
        <v>10000</v>
      </c>
      <c r="O32" s="118">
        <f t="shared" si="24"/>
        <v>100000</v>
      </c>
      <c r="P32" s="37">
        <f t="shared" si="25"/>
        <v>10300</v>
      </c>
      <c r="Q32" s="37">
        <f t="shared" si="26"/>
        <v>10300</v>
      </c>
      <c r="R32" s="37">
        <f t="shared" si="26"/>
        <v>10300</v>
      </c>
      <c r="S32" s="37">
        <f t="shared" si="26"/>
        <v>10300</v>
      </c>
      <c r="T32" s="37">
        <f t="shared" si="26"/>
        <v>10300</v>
      </c>
      <c r="U32" s="37">
        <f t="shared" si="26"/>
        <v>10300</v>
      </c>
      <c r="V32" s="37">
        <f t="shared" si="26"/>
        <v>10300</v>
      </c>
      <c r="W32" s="37">
        <f t="shared" si="26"/>
        <v>10300</v>
      </c>
      <c r="X32" s="37">
        <f t="shared" si="26"/>
        <v>10300</v>
      </c>
      <c r="Y32" s="37">
        <f t="shared" si="26"/>
        <v>10300</v>
      </c>
      <c r="Z32" s="37">
        <f t="shared" si="26"/>
        <v>10300</v>
      </c>
      <c r="AA32" s="37">
        <f t="shared" si="26"/>
        <v>10300</v>
      </c>
      <c r="AB32" s="131">
        <f t="shared" si="28"/>
        <v>123600</v>
      </c>
      <c r="AC32" s="34">
        <f t="shared" si="29"/>
        <v>129780</v>
      </c>
      <c r="AD32" s="34">
        <f t="shared" si="29"/>
        <v>136269</v>
      </c>
      <c r="AE32" s="34">
        <f t="shared" si="30"/>
        <v>143082.45</v>
      </c>
    </row>
    <row r="33" spans="3:31" ht="11.25">
      <c r="C33" s="29" t="s">
        <v>211</v>
      </c>
      <c r="D33" s="34">
        <v>100000</v>
      </c>
      <c r="E33" s="34">
        <f t="shared" si="27"/>
        <v>8333.333333333334</v>
      </c>
      <c r="F33" s="34">
        <f t="shared" si="27"/>
        <v>8333.333333333334</v>
      </c>
      <c r="G33" s="34">
        <f t="shared" si="27"/>
        <v>8333.333333333334</v>
      </c>
      <c r="H33" s="34">
        <f t="shared" si="27"/>
        <v>8333.333333333334</v>
      </c>
      <c r="I33" s="34">
        <f t="shared" si="27"/>
        <v>8333.333333333334</v>
      </c>
      <c r="J33" s="34">
        <f t="shared" si="27"/>
        <v>8333.333333333334</v>
      </c>
      <c r="K33" s="34">
        <f t="shared" si="27"/>
        <v>8333.333333333334</v>
      </c>
      <c r="L33" s="34">
        <f t="shared" si="27"/>
        <v>8333.333333333334</v>
      </c>
      <c r="M33" s="34">
        <f t="shared" si="27"/>
        <v>8333.333333333334</v>
      </c>
      <c r="N33" s="34">
        <f t="shared" si="27"/>
        <v>8333.333333333334</v>
      </c>
      <c r="O33" s="118">
        <f t="shared" si="24"/>
        <v>83333.33333333333</v>
      </c>
      <c r="P33" s="37">
        <f t="shared" si="25"/>
        <v>8583.333333333334</v>
      </c>
      <c r="Q33" s="37">
        <f t="shared" si="26"/>
        <v>8583.333333333334</v>
      </c>
      <c r="R33" s="37">
        <f t="shared" si="26"/>
        <v>8583.333333333334</v>
      </c>
      <c r="S33" s="37">
        <f t="shared" si="26"/>
        <v>8583.333333333334</v>
      </c>
      <c r="T33" s="37">
        <f t="shared" si="26"/>
        <v>8583.333333333334</v>
      </c>
      <c r="U33" s="37">
        <f t="shared" si="26"/>
        <v>8583.333333333334</v>
      </c>
      <c r="V33" s="37">
        <f t="shared" si="26"/>
        <v>8583.333333333334</v>
      </c>
      <c r="W33" s="37">
        <f t="shared" si="26"/>
        <v>8583.333333333334</v>
      </c>
      <c r="X33" s="37">
        <f t="shared" si="26"/>
        <v>8583.333333333334</v>
      </c>
      <c r="Y33" s="37">
        <f t="shared" si="26"/>
        <v>8583.333333333334</v>
      </c>
      <c r="Z33" s="37">
        <f t="shared" si="26"/>
        <v>8583.333333333334</v>
      </c>
      <c r="AA33" s="37">
        <f t="shared" si="26"/>
        <v>8583.333333333334</v>
      </c>
      <c r="AB33" s="131">
        <f t="shared" si="28"/>
        <v>102999.99999999999</v>
      </c>
      <c r="AC33" s="34">
        <f t="shared" si="29"/>
        <v>108149.99999999999</v>
      </c>
      <c r="AD33" s="34">
        <f t="shared" si="29"/>
        <v>113557.49999999999</v>
      </c>
      <c r="AE33" s="34">
        <f t="shared" si="30"/>
        <v>119235.37499999999</v>
      </c>
    </row>
    <row r="34" spans="3:31" ht="11.25">
      <c r="C34" s="29" t="s">
        <v>10</v>
      </c>
      <c r="D34" s="34">
        <v>85000</v>
      </c>
      <c r="E34" s="34">
        <f t="shared" si="27"/>
        <v>7083.333333333333</v>
      </c>
      <c r="F34" s="34">
        <f t="shared" si="27"/>
        <v>7083.333333333333</v>
      </c>
      <c r="G34" s="34">
        <f t="shared" si="27"/>
        <v>7083.333333333333</v>
      </c>
      <c r="H34" s="34">
        <f t="shared" si="27"/>
        <v>7083.333333333333</v>
      </c>
      <c r="I34" s="34">
        <f t="shared" si="27"/>
        <v>7083.333333333333</v>
      </c>
      <c r="J34" s="34">
        <f t="shared" si="27"/>
        <v>7083.333333333333</v>
      </c>
      <c r="K34" s="34">
        <f t="shared" si="27"/>
        <v>7083.333333333333</v>
      </c>
      <c r="L34" s="34">
        <f t="shared" si="27"/>
        <v>7083.333333333333</v>
      </c>
      <c r="M34" s="34">
        <f t="shared" si="27"/>
        <v>7083.333333333333</v>
      </c>
      <c r="N34" s="34">
        <f t="shared" si="27"/>
        <v>7083.333333333333</v>
      </c>
      <c r="O34" s="118">
        <f t="shared" si="24"/>
        <v>70833.33333333334</v>
      </c>
      <c r="P34" s="37">
        <f t="shared" si="25"/>
        <v>7295.833333333333</v>
      </c>
      <c r="Q34" s="37">
        <f t="shared" si="26"/>
        <v>7295.833333333333</v>
      </c>
      <c r="R34" s="37">
        <f t="shared" si="26"/>
        <v>7295.833333333333</v>
      </c>
      <c r="S34" s="37">
        <f t="shared" si="26"/>
        <v>7295.833333333333</v>
      </c>
      <c r="T34" s="37">
        <f t="shared" si="26"/>
        <v>7295.833333333333</v>
      </c>
      <c r="U34" s="37">
        <f t="shared" si="26"/>
        <v>7295.833333333333</v>
      </c>
      <c r="V34" s="37">
        <f t="shared" si="26"/>
        <v>7295.833333333333</v>
      </c>
      <c r="W34" s="37">
        <f t="shared" si="26"/>
        <v>7295.833333333333</v>
      </c>
      <c r="X34" s="37">
        <f t="shared" si="26"/>
        <v>7295.833333333333</v>
      </c>
      <c r="Y34" s="37">
        <f t="shared" si="26"/>
        <v>7295.833333333333</v>
      </c>
      <c r="Z34" s="37">
        <f t="shared" si="26"/>
        <v>7295.833333333333</v>
      </c>
      <c r="AA34" s="37">
        <f t="shared" si="26"/>
        <v>7295.833333333333</v>
      </c>
      <c r="AB34" s="131">
        <f t="shared" si="28"/>
        <v>87549.99999999999</v>
      </c>
      <c r="AC34" s="34">
        <f t="shared" si="29"/>
        <v>91927.49999999999</v>
      </c>
      <c r="AD34" s="34">
        <f t="shared" si="29"/>
        <v>96523.87499999999</v>
      </c>
      <c r="AE34" s="34">
        <f t="shared" si="30"/>
        <v>101350.06874999999</v>
      </c>
    </row>
    <row r="35" spans="3:31" ht="11.25">
      <c r="C35" s="29" t="s">
        <v>10</v>
      </c>
      <c r="D35" s="34">
        <v>85000</v>
      </c>
      <c r="E35" s="34"/>
      <c r="F35" s="34">
        <f t="shared" si="27"/>
        <v>7083.333333333333</v>
      </c>
      <c r="G35" s="34">
        <f t="shared" si="27"/>
        <v>7083.333333333333</v>
      </c>
      <c r="H35" s="34">
        <f t="shared" si="27"/>
        <v>7083.333333333333</v>
      </c>
      <c r="I35" s="34">
        <f t="shared" si="27"/>
        <v>7083.333333333333</v>
      </c>
      <c r="J35" s="34">
        <f t="shared" si="27"/>
        <v>7083.333333333333</v>
      </c>
      <c r="K35" s="34">
        <f t="shared" si="27"/>
        <v>7083.333333333333</v>
      </c>
      <c r="L35" s="34">
        <f t="shared" si="27"/>
        <v>7083.333333333333</v>
      </c>
      <c r="M35" s="34">
        <f t="shared" si="27"/>
        <v>7083.333333333333</v>
      </c>
      <c r="N35" s="34">
        <f t="shared" si="27"/>
        <v>7083.333333333333</v>
      </c>
      <c r="O35" s="118">
        <f t="shared" si="24"/>
        <v>63750.00000000001</v>
      </c>
      <c r="P35" s="37">
        <f t="shared" si="25"/>
        <v>7295.833333333333</v>
      </c>
      <c r="Q35" s="37">
        <f t="shared" si="26"/>
        <v>7295.833333333333</v>
      </c>
      <c r="R35" s="37">
        <f t="shared" si="26"/>
        <v>7295.833333333333</v>
      </c>
      <c r="S35" s="37">
        <f t="shared" si="26"/>
        <v>7295.833333333333</v>
      </c>
      <c r="T35" s="37">
        <f t="shared" si="26"/>
        <v>7295.833333333333</v>
      </c>
      <c r="U35" s="37">
        <f t="shared" si="26"/>
        <v>7295.833333333333</v>
      </c>
      <c r="V35" s="37">
        <f t="shared" si="26"/>
        <v>7295.833333333333</v>
      </c>
      <c r="W35" s="37">
        <f t="shared" si="26"/>
        <v>7295.833333333333</v>
      </c>
      <c r="X35" s="37">
        <f t="shared" si="26"/>
        <v>7295.833333333333</v>
      </c>
      <c r="Y35" s="37">
        <f t="shared" si="26"/>
        <v>7295.833333333333</v>
      </c>
      <c r="Z35" s="37">
        <f t="shared" si="26"/>
        <v>7295.833333333333</v>
      </c>
      <c r="AA35" s="37">
        <f t="shared" si="26"/>
        <v>7295.833333333333</v>
      </c>
      <c r="AB35" s="131">
        <f t="shared" si="28"/>
        <v>87549.99999999999</v>
      </c>
      <c r="AC35" s="34">
        <f t="shared" si="29"/>
        <v>91927.49999999999</v>
      </c>
      <c r="AD35" s="34">
        <f t="shared" si="29"/>
        <v>96523.87499999999</v>
      </c>
      <c r="AE35" s="34">
        <f t="shared" si="30"/>
        <v>101350.06874999999</v>
      </c>
    </row>
    <row r="36" spans="3:31" ht="11.25">
      <c r="C36" s="29" t="s">
        <v>10</v>
      </c>
      <c r="D36" s="34">
        <v>85000</v>
      </c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118"/>
      <c r="P36" s="37"/>
      <c r="Q36" s="37"/>
      <c r="R36" s="37"/>
      <c r="S36" s="37"/>
      <c r="T36" s="37"/>
      <c r="U36" s="37"/>
      <c r="V36" s="37">
        <f>$D36/12</f>
        <v>7083.333333333333</v>
      </c>
      <c r="W36" s="37">
        <f aca="true" t="shared" si="31" ref="W36:AA38">$D36/12</f>
        <v>7083.333333333333</v>
      </c>
      <c r="X36" s="37">
        <f t="shared" si="31"/>
        <v>7083.333333333333</v>
      </c>
      <c r="Y36" s="37">
        <f t="shared" si="31"/>
        <v>7083.333333333333</v>
      </c>
      <c r="Z36" s="37">
        <f t="shared" si="31"/>
        <v>7083.333333333333</v>
      </c>
      <c r="AA36" s="37">
        <f t="shared" si="31"/>
        <v>7083.333333333333</v>
      </c>
      <c r="AB36" s="131">
        <f t="shared" si="28"/>
        <v>42500</v>
      </c>
      <c r="AC36" s="34">
        <f t="shared" si="29"/>
        <v>44625</v>
      </c>
      <c r="AD36" s="34">
        <f t="shared" si="29"/>
        <v>46856.25</v>
      </c>
      <c r="AE36" s="34">
        <f t="shared" si="30"/>
        <v>49199.0625</v>
      </c>
    </row>
    <row r="37" spans="3:31" ht="11.25">
      <c r="C37" s="29" t="s">
        <v>10</v>
      </c>
      <c r="D37" s="34">
        <v>85000</v>
      </c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121"/>
      <c r="P37" s="53"/>
      <c r="Q37" s="53"/>
      <c r="R37" s="53"/>
      <c r="S37" s="53"/>
      <c r="T37" s="53"/>
      <c r="U37" s="53"/>
      <c r="V37" s="53"/>
      <c r="W37" s="53"/>
      <c r="X37" s="37"/>
      <c r="Y37" s="37">
        <f t="shared" si="31"/>
        <v>7083.333333333333</v>
      </c>
      <c r="Z37" s="37">
        <f t="shared" si="31"/>
        <v>7083.333333333333</v>
      </c>
      <c r="AA37" s="37">
        <f t="shared" si="31"/>
        <v>7083.333333333333</v>
      </c>
      <c r="AB37" s="131">
        <f t="shared" si="28"/>
        <v>21250</v>
      </c>
      <c r="AC37" s="34">
        <f t="shared" si="29"/>
        <v>22312.5</v>
      </c>
      <c r="AD37" s="34">
        <f t="shared" si="29"/>
        <v>23428.125</v>
      </c>
      <c r="AE37" s="34">
        <f t="shared" si="30"/>
        <v>24599.53125</v>
      </c>
    </row>
    <row r="38" spans="3:31" ht="11.25">
      <c r="C38" s="29" t="s">
        <v>10</v>
      </c>
      <c r="D38" s="34">
        <v>85000</v>
      </c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121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37">
        <f>$D38/12</f>
        <v>7083.333333333333</v>
      </c>
      <c r="AA38" s="37">
        <f t="shared" si="31"/>
        <v>7083.333333333333</v>
      </c>
      <c r="AB38" s="131">
        <f t="shared" si="28"/>
        <v>14166.666666666666</v>
      </c>
      <c r="AC38" s="34">
        <f t="shared" si="29"/>
        <v>14875</v>
      </c>
      <c r="AD38" s="34">
        <f t="shared" si="29"/>
        <v>15618.75</v>
      </c>
      <c r="AE38" s="34">
        <f t="shared" si="30"/>
        <v>16399.6875</v>
      </c>
    </row>
    <row r="39" spans="3:31" ht="11.25">
      <c r="C39" s="29" t="s">
        <v>10</v>
      </c>
      <c r="D39" s="34">
        <v>85000</v>
      </c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121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131"/>
      <c r="AC39" s="34">
        <f>D39</f>
        <v>85000</v>
      </c>
      <c r="AD39" s="34">
        <f>AC39*1.05</f>
        <v>89250</v>
      </c>
      <c r="AE39" s="34">
        <f t="shared" si="30"/>
        <v>93712.5</v>
      </c>
    </row>
    <row r="40" spans="3:31" ht="12" thickBot="1">
      <c r="C40" s="29" t="s">
        <v>10</v>
      </c>
      <c r="D40" s="34">
        <v>85000</v>
      </c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119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16"/>
      <c r="AC40" s="35">
        <f>D40</f>
        <v>85000</v>
      </c>
      <c r="AD40" s="35">
        <f>AC40*1.05</f>
        <v>89250</v>
      </c>
      <c r="AE40" s="35">
        <f t="shared" si="30"/>
        <v>93712.5</v>
      </c>
    </row>
    <row r="41" spans="2:31" ht="11.25">
      <c r="B41" s="29" t="s">
        <v>27</v>
      </c>
      <c r="D41" s="34"/>
      <c r="E41" s="34">
        <f>SUM(E30:E40)</f>
        <v>47083.333333333336</v>
      </c>
      <c r="F41" s="34">
        <f aca="true" t="shared" si="32" ref="F41:N41">SUM(F30:F40)</f>
        <v>54166.66666666667</v>
      </c>
      <c r="G41" s="34">
        <f t="shared" si="32"/>
        <v>54166.66666666667</v>
      </c>
      <c r="H41" s="34">
        <f t="shared" si="32"/>
        <v>54166.66666666667</v>
      </c>
      <c r="I41" s="34">
        <f t="shared" si="32"/>
        <v>54166.66666666667</v>
      </c>
      <c r="J41" s="34">
        <f t="shared" si="32"/>
        <v>54166.66666666667</v>
      </c>
      <c r="K41" s="34">
        <f t="shared" si="32"/>
        <v>54166.66666666667</v>
      </c>
      <c r="L41" s="34">
        <f t="shared" si="32"/>
        <v>54166.66666666667</v>
      </c>
      <c r="M41" s="34">
        <f t="shared" si="32"/>
        <v>54166.66666666667</v>
      </c>
      <c r="N41" s="34">
        <f t="shared" si="32"/>
        <v>54166.66666666667</v>
      </c>
      <c r="O41" s="118">
        <f>SUM(E41:N41)</f>
        <v>534583.3333333335</v>
      </c>
      <c r="P41" s="37">
        <f>SUM(P30:P40)</f>
        <v>55791.66666666667</v>
      </c>
      <c r="Q41" s="37">
        <f aca="true" t="shared" si="33" ref="Q41:AA41">SUM(Q30:Q40)</f>
        <v>55791.66666666667</v>
      </c>
      <c r="R41" s="37">
        <f t="shared" si="33"/>
        <v>55791.66666666667</v>
      </c>
      <c r="S41" s="37">
        <f t="shared" si="33"/>
        <v>55791.66666666667</v>
      </c>
      <c r="T41" s="37">
        <f t="shared" si="33"/>
        <v>55791.66666666667</v>
      </c>
      <c r="U41" s="37">
        <f t="shared" si="33"/>
        <v>55791.66666666667</v>
      </c>
      <c r="V41" s="37">
        <f t="shared" si="33"/>
        <v>62875.00000000001</v>
      </c>
      <c r="W41" s="37">
        <f t="shared" si="33"/>
        <v>62875.00000000001</v>
      </c>
      <c r="X41" s="37">
        <f t="shared" si="33"/>
        <v>62875.00000000001</v>
      </c>
      <c r="Y41" s="37">
        <f t="shared" si="33"/>
        <v>69958.33333333334</v>
      </c>
      <c r="Z41" s="37">
        <f t="shared" si="33"/>
        <v>77041.66666666667</v>
      </c>
      <c r="AA41" s="37">
        <f t="shared" si="33"/>
        <v>77041.66666666667</v>
      </c>
      <c r="AB41" s="131">
        <f>SUM(AB30:AB40)</f>
        <v>747416.6666666666</v>
      </c>
      <c r="AC41" s="34">
        <f>SUM(AC30:AC40)</f>
        <v>954787.5</v>
      </c>
      <c r="AD41" s="34">
        <f>SUM(AD30:AD40)</f>
        <v>1002526.875</v>
      </c>
      <c r="AE41" s="34">
        <f>SUM(AE30:AE40)</f>
        <v>1052653.21875</v>
      </c>
    </row>
    <row r="42" spans="4:31" ht="11.25">
      <c r="D42" s="34"/>
      <c r="E42" s="37">
        <f>COUNTIF(E30:E40,"&gt;0")</f>
        <v>5</v>
      </c>
      <c r="F42" s="37">
        <f aca="true" t="shared" si="34" ref="F42:N42">COUNTIF(F30:F40,"&gt;0")</f>
        <v>6</v>
      </c>
      <c r="G42" s="37">
        <f t="shared" si="34"/>
        <v>6</v>
      </c>
      <c r="H42" s="37">
        <f t="shared" si="34"/>
        <v>6</v>
      </c>
      <c r="I42" s="37">
        <f t="shared" si="34"/>
        <v>6</v>
      </c>
      <c r="J42" s="37">
        <f t="shared" si="34"/>
        <v>6</v>
      </c>
      <c r="K42" s="37">
        <f t="shared" si="34"/>
        <v>6</v>
      </c>
      <c r="L42" s="37">
        <f t="shared" si="34"/>
        <v>6</v>
      </c>
      <c r="M42" s="37">
        <f t="shared" si="34"/>
        <v>6</v>
      </c>
      <c r="N42" s="128">
        <f t="shared" si="34"/>
        <v>6</v>
      </c>
      <c r="O42" s="118">
        <f>COUNTIF(O30:O40,"&gt;0")</f>
        <v>6</v>
      </c>
      <c r="P42" s="131">
        <f aca="true" t="shared" si="35" ref="P42:AA42">COUNTIF(P30:P40,"&gt;0")</f>
        <v>6</v>
      </c>
      <c r="Q42" s="37">
        <f t="shared" si="35"/>
        <v>6</v>
      </c>
      <c r="R42" s="37">
        <f t="shared" si="35"/>
        <v>6</v>
      </c>
      <c r="S42" s="37">
        <f t="shared" si="35"/>
        <v>6</v>
      </c>
      <c r="T42" s="37">
        <f t="shared" si="35"/>
        <v>6</v>
      </c>
      <c r="U42" s="37">
        <f t="shared" si="35"/>
        <v>6</v>
      </c>
      <c r="V42" s="37">
        <f t="shared" si="35"/>
        <v>7</v>
      </c>
      <c r="W42" s="37">
        <f t="shared" si="35"/>
        <v>7</v>
      </c>
      <c r="X42" s="37">
        <f t="shared" si="35"/>
        <v>7</v>
      </c>
      <c r="Y42" s="37">
        <f t="shared" si="35"/>
        <v>8</v>
      </c>
      <c r="Z42" s="37">
        <f t="shared" si="35"/>
        <v>9</v>
      </c>
      <c r="AA42" s="128">
        <f t="shared" si="35"/>
        <v>9</v>
      </c>
      <c r="AB42" s="131">
        <f>COUNTIF(AB30:AB40,"&gt;0")</f>
        <v>9</v>
      </c>
      <c r="AC42" s="34">
        <f>COUNTIF(AC30:AC40,"&gt;0")</f>
        <v>11</v>
      </c>
      <c r="AD42" s="34">
        <f>COUNTIF(AD30:AD40,"&gt;0")</f>
        <v>11</v>
      </c>
      <c r="AE42" s="34">
        <f>COUNTIF(AE30:AE40,"&gt;0")</f>
        <v>11</v>
      </c>
    </row>
    <row r="43" spans="2:31" ht="11.25">
      <c r="B43" s="29" t="s">
        <v>12</v>
      </c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118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131"/>
      <c r="AC43" s="34"/>
      <c r="AD43" s="34"/>
      <c r="AE43" s="34"/>
    </row>
    <row r="44" spans="3:31" ht="11.25">
      <c r="C44" s="29" t="s">
        <v>13</v>
      </c>
      <c r="D44" s="34">
        <v>80000</v>
      </c>
      <c r="E44" s="34"/>
      <c r="F44" s="34"/>
      <c r="G44" s="34"/>
      <c r="H44" s="34"/>
      <c r="I44" s="34">
        <f>$D44/12</f>
        <v>6666.666666666667</v>
      </c>
      <c r="J44" s="34">
        <f aca="true" t="shared" si="36" ref="J44:N46">$D44/12</f>
        <v>6666.666666666667</v>
      </c>
      <c r="K44" s="34">
        <f t="shared" si="36"/>
        <v>6666.666666666667</v>
      </c>
      <c r="L44" s="34">
        <f t="shared" si="36"/>
        <v>6666.666666666667</v>
      </c>
      <c r="M44" s="34">
        <f t="shared" si="36"/>
        <v>6666.666666666667</v>
      </c>
      <c r="N44" s="34">
        <f t="shared" si="36"/>
        <v>6666.666666666667</v>
      </c>
      <c r="O44" s="118">
        <f>SUM(E44:N44)</f>
        <v>40000</v>
      </c>
      <c r="P44" s="37">
        <f>$D44*1.03/12</f>
        <v>6866.666666666667</v>
      </c>
      <c r="Q44" s="37">
        <f aca="true" t="shared" si="37" ref="Q44:AA46">$D44*1.03/12</f>
        <v>6866.666666666667</v>
      </c>
      <c r="R44" s="37">
        <f t="shared" si="37"/>
        <v>6866.666666666667</v>
      </c>
      <c r="S44" s="37">
        <f t="shared" si="37"/>
        <v>6866.666666666667</v>
      </c>
      <c r="T44" s="37">
        <f t="shared" si="37"/>
        <v>6866.666666666667</v>
      </c>
      <c r="U44" s="37">
        <f t="shared" si="37"/>
        <v>6866.666666666667</v>
      </c>
      <c r="V44" s="37">
        <f t="shared" si="37"/>
        <v>6866.666666666667</v>
      </c>
      <c r="W44" s="37">
        <f t="shared" si="37"/>
        <v>6866.666666666667</v>
      </c>
      <c r="X44" s="37">
        <f t="shared" si="37"/>
        <v>6866.666666666667</v>
      </c>
      <c r="Y44" s="37">
        <f t="shared" si="37"/>
        <v>6866.666666666667</v>
      </c>
      <c r="Z44" s="37">
        <f t="shared" si="37"/>
        <v>6866.666666666667</v>
      </c>
      <c r="AA44" s="37">
        <f t="shared" si="37"/>
        <v>6866.666666666667</v>
      </c>
      <c r="AB44" s="131">
        <f>SUM(P44:AA44)</f>
        <v>82400</v>
      </c>
      <c r="AC44" s="34">
        <f aca="true" t="shared" si="38" ref="AC44:AE46">AB44*1.05</f>
        <v>86520</v>
      </c>
      <c r="AD44" s="34">
        <f t="shared" si="38"/>
        <v>90846</v>
      </c>
      <c r="AE44" s="34">
        <f t="shared" si="38"/>
        <v>95388.3</v>
      </c>
    </row>
    <row r="45" spans="3:31" ht="11.25">
      <c r="C45" s="29" t="s">
        <v>14</v>
      </c>
      <c r="D45" s="34">
        <v>50000</v>
      </c>
      <c r="E45" s="34"/>
      <c r="F45" s="34"/>
      <c r="G45" s="34"/>
      <c r="H45" s="34"/>
      <c r="I45" s="34">
        <f>$D45/12</f>
        <v>4166.666666666667</v>
      </c>
      <c r="J45" s="34">
        <f t="shared" si="36"/>
        <v>4166.666666666667</v>
      </c>
      <c r="K45" s="34">
        <f t="shared" si="36"/>
        <v>4166.666666666667</v>
      </c>
      <c r="L45" s="34">
        <f t="shared" si="36"/>
        <v>4166.666666666667</v>
      </c>
      <c r="M45" s="34">
        <f t="shared" si="36"/>
        <v>4166.666666666667</v>
      </c>
      <c r="N45" s="34">
        <f t="shared" si="36"/>
        <v>4166.666666666667</v>
      </c>
      <c r="O45" s="118">
        <f>SUM(E45:N45)</f>
        <v>25000.000000000004</v>
      </c>
      <c r="P45" s="131">
        <f>$D45*1.03/12</f>
        <v>4291.666666666667</v>
      </c>
      <c r="Q45" s="37">
        <f t="shared" si="37"/>
        <v>4291.666666666667</v>
      </c>
      <c r="R45" s="37">
        <f t="shared" si="37"/>
        <v>4291.666666666667</v>
      </c>
      <c r="S45" s="37">
        <f t="shared" si="37"/>
        <v>4291.666666666667</v>
      </c>
      <c r="T45" s="37">
        <f t="shared" si="37"/>
        <v>4291.666666666667</v>
      </c>
      <c r="U45" s="37">
        <f t="shared" si="37"/>
        <v>4291.666666666667</v>
      </c>
      <c r="V45" s="37">
        <f t="shared" si="37"/>
        <v>4291.666666666667</v>
      </c>
      <c r="W45" s="37">
        <f t="shared" si="37"/>
        <v>4291.666666666667</v>
      </c>
      <c r="X45" s="37">
        <f t="shared" si="37"/>
        <v>4291.666666666667</v>
      </c>
      <c r="Y45" s="37">
        <f t="shared" si="37"/>
        <v>4291.666666666667</v>
      </c>
      <c r="Z45" s="37">
        <f t="shared" si="37"/>
        <v>4291.666666666667</v>
      </c>
      <c r="AA45" s="37">
        <f t="shared" si="37"/>
        <v>4291.666666666667</v>
      </c>
      <c r="AB45" s="131">
        <f>SUM(P45:AA45)</f>
        <v>51499.99999999999</v>
      </c>
      <c r="AC45" s="34">
        <f t="shared" si="38"/>
        <v>54074.99999999999</v>
      </c>
      <c r="AD45" s="34">
        <f t="shared" si="38"/>
        <v>56778.74999999999</v>
      </c>
      <c r="AE45" s="34">
        <f t="shared" si="38"/>
        <v>59617.68749999999</v>
      </c>
    </row>
    <row r="46" spans="3:31" ht="12" thickBot="1">
      <c r="C46" s="29" t="s">
        <v>106</v>
      </c>
      <c r="D46" s="34">
        <v>50000</v>
      </c>
      <c r="E46" s="35"/>
      <c r="F46" s="35"/>
      <c r="G46" s="35"/>
      <c r="H46" s="35"/>
      <c r="I46" s="35"/>
      <c r="J46" s="35"/>
      <c r="K46" s="35"/>
      <c r="L46" s="35">
        <f>$D46/12</f>
        <v>4166.666666666667</v>
      </c>
      <c r="M46" s="35">
        <f t="shared" si="36"/>
        <v>4166.666666666667</v>
      </c>
      <c r="N46" s="35">
        <f t="shared" si="36"/>
        <v>4166.666666666667</v>
      </c>
      <c r="O46" s="120">
        <f>SUM(E46:N46)</f>
        <v>12500</v>
      </c>
      <c r="P46" s="116">
        <f>$D46*1.03/12</f>
        <v>4291.666666666667</v>
      </c>
      <c r="Q46" s="35">
        <f t="shared" si="37"/>
        <v>4291.666666666667</v>
      </c>
      <c r="R46" s="35">
        <f t="shared" si="37"/>
        <v>4291.666666666667</v>
      </c>
      <c r="S46" s="35">
        <f t="shared" si="37"/>
        <v>4291.666666666667</v>
      </c>
      <c r="T46" s="35">
        <f t="shared" si="37"/>
        <v>4291.666666666667</v>
      </c>
      <c r="U46" s="35">
        <f t="shared" si="37"/>
        <v>4291.666666666667</v>
      </c>
      <c r="V46" s="35">
        <f t="shared" si="37"/>
        <v>4291.666666666667</v>
      </c>
      <c r="W46" s="35">
        <f t="shared" si="37"/>
        <v>4291.666666666667</v>
      </c>
      <c r="X46" s="35">
        <f t="shared" si="37"/>
        <v>4291.666666666667</v>
      </c>
      <c r="Y46" s="35">
        <f t="shared" si="37"/>
        <v>4291.666666666667</v>
      </c>
      <c r="Z46" s="35">
        <f t="shared" si="37"/>
        <v>4291.666666666667</v>
      </c>
      <c r="AA46" s="35">
        <f t="shared" si="37"/>
        <v>4291.666666666667</v>
      </c>
      <c r="AB46" s="116">
        <f>SUM(P46:AA46)</f>
        <v>51499.99999999999</v>
      </c>
      <c r="AC46" s="35">
        <f t="shared" si="38"/>
        <v>54074.99999999999</v>
      </c>
      <c r="AD46" s="35">
        <f t="shared" si="38"/>
        <v>56778.74999999999</v>
      </c>
      <c r="AE46" s="35">
        <f t="shared" si="38"/>
        <v>59617.68749999999</v>
      </c>
    </row>
    <row r="47" spans="2:31" ht="11.25">
      <c r="B47" s="29" t="s">
        <v>15</v>
      </c>
      <c r="D47" s="34"/>
      <c r="E47" s="34"/>
      <c r="F47" s="34"/>
      <c r="G47" s="34"/>
      <c r="H47" s="34"/>
      <c r="I47" s="34">
        <f aca="true" t="shared" si="39" ref="I47:P47">SUM(I44:I46)</f>
        <v>10833.333333333334</v>
      </c>
      <c r="J47" s="34">
        <f t="shared" si="39"/>
        <v>10833.333333333334</v>
      </c>
      <c r="K47" s="34">
        <f t="shared" si="39"/>
        <v>10833.333333333334</v>
      </c>
      <c r="L47" s="34">
        <f t="shared" si="39"/>
        <v>15000</v>
      </c>
      <c r="M47" s="34">
        <f t="shared" si="39"/>
        <v>15000</v>
      </c>
      <c r="N47" s="34">
        <f t="shared" si="39"/>
        <v>15000</v>
      </c>
      <c r="O47" s="118">
        <f t="shared" si="39"/>
        <v>77500</v>
      </c>
      <c r="P47" s="37">
        <f t="shared" si="39"/>
        <v>15450</v>
      </c>
      <c r="Q47" s="37">
        <f aca="true" t="shared" si="40" ref="Q47:AA47">SUM(Q44:Q46)</f>
        <v>15450</v>
      </c>
      <c r="R47" s="37">
        <f t="shared" si="40"/>
        <v>15450</v>
      </c>
      <c r="S47" s="37">
        <f t="shared" si="40"/>
        <v>15450</v>
      </c>
      <c r="T47" s="37">
        <f t="shared" si="40"/>
        <v>15450</v>
      </c>
      <c r="U47" s="37">
        <f t="shared" si="40"/>
        <v>15450</v>
      </c>
      <c r="V47" s="37">
        <f t="shared" si="40"/>
        <v>15450</v>
      </c>
      <c r="W47" s="37">
        <f t="shared" si="40"/>
        <v>15450</v>
      </c>
      <c r="X47" s="37">
        <f t="shared" si="40"/>
        <v>15450</v>
      </c>
      <c r="Y47" s="37">
        <f t="shared" si="40"/>
        <v>15450</v>
      </c>
      <c r="Z47" s="37">
        <f t="shared" si="40"/>
        <v>15450</v>
      </c>
      <c r="AA47" s="37">
        <f t="shared" si="40"/>
        <v>15450</v>
      </c>
      <c r="AB47" s="131">
        <f>SUM(AB44:AB46)</f>
        <v>185400</v>
      </c>
      <c r="AC47" s="34">
        <f>SUM(AC44:AC46)</f>
        <v>194670</v>
      </c>
      <c r="AD47" s="34">
        <f>SUM(AD44:AD46)</f>
        <v>204403.5</v>
      </c>
      <c r="AE47" s="34">
        <f>SUM(AE44:AE46)</f>
        <v>214623.675</v>
      </c>
    </row>
    <row r="48" spans="4:31" ht="11.25">
      <c r="D48" s="34"/>
      <c r="E48" s="37"/>
      <c r="F48" s="37"/>
      <c r="G48" s="37"/>
      <c r="H48" s="37"/>
      <c r="I48" s="37">
        <f aca="true" t="shared" si="41" ref="I48:N48">COUNTIF(I44:I46,"&gt;0")</f>
        <v>2</v>
      </c>
      <c r="J48" s="37">
        <f t="shared" si="41"/>
        <v>2</v>
      </c>
      <c r="K48" s="37">
        <f t="shared" si="41"/>
        <v>2</v>
      </c>
      <c r="L48" s="37">
        <f t="shared" si="41"/>
        <v>3</v>
      </c>
      <c r="M48" s="37">
        <f t="shared" si="41"/>
        <v>3</v>
      </c>
      <c r="N48" s="128">
        <f t="shared" si="41"/>
        <v>3</v>
      </c>
      <c r="O48" s="118">
        <f>COUNTIF(O44:O46,"&gt;0")</f>
        <v>3</v>
      </c>
      <c r="P48" s="131">
        <f aca="true" t="shared" si="42" ref="P48:AA48">COUNTIF(P44:P46,"&gt;0")</f>
        <v>3</v>
      </c>
      <c r="Q48" s="37">
        <f t="shared" si="42"/>
        <v>3</v>
      </c>
      <c r="R48" s="37">
        <f t="shared" si="42"/>
        <v>3</v>
      </c>
      <c r="S48" s="37">
        <f t="shared" si="42"/>
        <v>3</v>
      </c>
      <c r="T48" s="37">
        <f t="shared" si="42"/>
        <v>3</v>
      </c>
      <c r="U48" s="37">
        <f t="shared" si="42"/>
        <v>3</v>
      </c>
      <c r="V48" s="37">
        <f t="shared" si="42"/>
        <v>3</v>
      </c>
      <c r="W48" s="37">
        <f t="shared" si="42"/>
        <v>3</v>
      </c>
      <c r="X48" s="37">
        <f t="shared" si="42"/>
        <v>3</v>
      </c>
      <c r="Y48" s="37">
        <f t="shared" si="42"/>
        <v>3</v>
      </c>
      <c r="Z48" s="37">
        <f t="shared" si="42"/>
        <v>3</v>
      </c>
      <c r="AA48" s="128">
        <f t="shared" si="42"/>
        <v>3</v>
      </c>
      <c r="AB48" s="131">
        <f>COUNTIF(AB44:AB46,"&gt;0")</f>
        <v>3</v>
      </c>
      <c r="AC48" s="37">
        <f>COUNTIF(AC44:AC46,"&gt;0")</f>
        <v>3</v>
      </c>
      <c r="AD48" s="37">
        <f>COUNTIF(AD44:AD46,"&gt;0")</f>
        <v>3</v>
      </c>
      <c r="AE48" s="37">
        <f>COUNTIF(AE44:AE46,"&gt;0")</f>
        <v>3</v>
      </c>
    </row>
    <row r="49" spans="4:31" ht="12" thickBot="1">
      <c r="D49" s="34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120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116"/>
      <c r="AC49" s="35"/>
      <c r="AD49" s="35"/>
      <c r="AE49" s="35"/>
    </row>
    <row r="50" spans="2:31" ht="11.25">
      <c r="B50" s="29" t="s">
        <v>16</v>
      </c>
      <c r="D50" s="34"/>
      <c r="E50" s="37">
        <f>E41+E47</f>
        <v>47083.333333333336</v>
      </c>
      <c r="F50" s="37">
        <f aca="true" t="shared" si="43" ref="F50:AA50">F41+F47</f>
        <v>54166.66666666667</v>
      </c>
      <c r="G50" s="37">
        <f t="shared" si="43"/>
        <v>54166.66666666667</v>
      </c>
      <c r="H50" s="37">
        <f t="shared" si="43"/>
        <v>54166.66666666667</v>
      </c>
      <c r="I50" s="37">
        <f t="shared" si="43"/>
        <v>65000.00000000001</v>
      </c>
      <c r="J50" s="37">
        <f t="shared" si="43"/>
        <v>65000.00000000001</v>
      </c>
      <c r="K50" s="37">
        <f t="shared" si="43"/>
        <v>65000.00000000001</v>
      </c>
      <c r="L50" s="37">
        <f t="shared" si="43"/>
        <v>69166.66666666667</v>
      </c>
      <c r="M50" s="37">
        <f t="shared" si="43"/>
        <v>69166.66666666667</v>
      </c>
      <c r="N50" s="37">
        <f t="shared" si="43"/>
        <v>69166.66666666667</v>
      </c>
      <c r="O50" s="133">
        <f t="shared" si="43"/>
        <v>612083.3333333335</v>
      </c>
      <c r="P50" s="37">
        <f t="shared" si="43"/>
        <v>71241.66666666667</v>
      </c>
      <c r="Q50" s="37">
        <f t="shared" si="43"/>
        <v>71241.66666666667</v>
      </c>
      <c r="R50" s="37">
        <f t="shared" si="43"/>
        <v>71241.66666666667</v>
      </c>
      <c r="S50" s="37">
        <f t="shared" si="43"/>
        <v>71241.66666666667</v>
      </c>
      <c r="T50" s="37">
        <f t="shared" si="43"/>
        <v>71241.66666666667</v>
      </c>
      <c r="U50" s="37">
        <f t="shared" si="43"/>
        <v>71241.66666666667</v>
      </c>
      <c r="V50" s="37">
        <f t="shared" si="43"/>
        <v>78325</v>
      </c>
      <c r="W50" s="37">
        <f t="shared" si="43"/>
        <v>78325</v>
      </c>
      <c r="X50" s="37">
        <f t="shared" si="43"/>
        <v>78325</v>
      </c>
      <c r="Y50" s="37">
        <f t="shared" si="43"/>
        <v>85408.33333333334</v>
      </c>
      <c r="Z50" s="37">
        <f t="shared" si="43"/>
        <v>92491.66666666667</v>
      </c>
      <c r="AA50" s="37">
        <f t="shared" si="43"/>
        <v>92491.66666666667</v>
      </c>
      <c r="AB50" s="131">
        <f aca="true" t="shared" si="44" ref="AB50:AE51">AB41+AB47</f>
        <v>932816.6666666666</v>
      </c>
      <c r="AC50" s="37">
        <f t="shared" si="44"/>
        <v>1149457.5</v>
      </c>
      <c r="AD50" s="37">
        <f t="shared" si="44"/>
        <v>1206930.375</v>
      </c>
      <c r="AE50" s="37">
        <f t="shared" si="44"/>
        <v>1267276.89375</v>
      </c>
    </row>
    <row r="51" spans="2:31" ht="11.25">
      <c r="B51" s="29" t="s">
        <v>30</v>
      </c>
      <c r="D51" s="34"/>
      <c r="E51" s="34">
        <f>E42+E48</f>
        <v>5</v>
      </c>
      <c r="F51" s="34">
        <f aca="true" t="shared" si="45" ref="F51:N51">F42+F48</f>
        <v>6</v>
      </c>
      <c r="G51" s="34">
        <f t="shared" si="45"/>
        <v>6</v>
      </c>
      <c r="H51" s="34">
        <f t="shared" si="45"/>
        <v>6</v>
      </c>
      <c r="I51" s="34">
        <f t="shared" si="45"/>
        <v>8</v>
      </c>
      <c r="J51" s="34">
        <f t="shared" si="45"/>
        <v>8</v>
      </c>
      <c r="K51" s="34">
        <f t="shared" si="45"/>
        <v>8</v>
      </c>
      <c r="L51" s="34">
        <f t="shared" si="45"/>
        <v>9</v>
      </c>
      <c r="M51" s="34">
        <f t="shared" si="45"/>
        <v>9</v>
      </c>
      <c r="N51" s="34">
        <f t="shared" si="45"/>
        <v>9</v>
      </c>
      <c r="O51" s="118">
        <f>O42+O48</f>
        <v>9</v>
      </c>
      <c r="P51" s="34">
        <f aca="true" t="shared" si="46" ref="P51:AA51">P42+P48</f>
        <v>9</v>
      </c>
      <c r="Q51" s="34">
        <f t="shared" si="46"/>
        <v>9</v>
      </c>
      <c r="R51" s="34">
        <f t="shared" si="46"/>
        <v>9</v>
      </c>
      <c r="S51" s="34">
        <f t="shared" si="46"/>
        <v>9</v>
      </c>
      <c r="T51" s="34">
        <f t="shared" si="46"/>
        <v>9</v>
      </c>
      <c r="U51" s="34">
        <f t="shared" si="46"/>
        <v>9</v>
      </c>
      <c r="V51" s="34">
        <f t="shared" si="46"/>
        <v>10</v>
      </c>
      <c r="W51" s="34">
        <f t="shared" si="46"/>
        <v>10</v>
      </c>
      <c r="X51" s="34">
        <f t="shared" si="46"/>
        <v>10</v>
      </c>
      <c r="Y51" s="34">
        <f t="shared" si="46"/>
        <v>11</v>
      </c>
      <c r="Z51" s="34">
        <f t="shared" si="46"/>
        <v>12</v>
      </c>
      <c r="AA51" s="34">
        <f t="shared" si="46"/>
        <v>12</v>
      </c>
      <c r="AB51" s="131">
        <f t="shared" si="44"/>
        <v>12</v>
      </c>
      <c r="AC51" s="34">
        <f t="shared" si="44"/>
        <v>14</v>
      </c>
      <c r="AD51" s="34">
        <f t="shared" si="44"/>
        <v>14</v>
      </c>
      <c r="AE51" s="34">
        <f t="shared" si="44"/>
        <v>14</v>
      </c>
    </row>
    <row r="52" spans="4:31" ht="11.25"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118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131"/>
      <c r="AC52" s="34"/>
      <c r="AD52" s="34"/>
      <c r="AE52" s="34"/>
    </row>
    <row r="53" spans="1:31" ht="12">
      <c r="A53" s="48" t="s">
        <v>212</v>
      </c>
      <c r="B53" s="31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118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131"/>
      <c r="AC53" s="34"/>
      <c r="AD53" s="34"/>
      <c r="AE53" s="34"/>
    </row>
    <row r="54" spans="3:31" ht="11.25">
      <c r="C54" s="29" t="s">
        <v>214</v>
      </c>
      <c r="D54" s="34">
        <v>120000</v>
      </c>
      <c r="E54" s="34"/>
      <c r="F54" s="34"/>
      <c r="G54" s="34"/>
      <c r="H54" s="34"/>
      <c r="I54" s="34">
        <f aca="true" t="shared" si="47" ref="I54:N56">$D54/12</f>
        <v>10000</v>
      </c>
      <c r="J54" s="34">
        <f t="shared" si="47"/>
        <v>10000</v>
      </c>
      <c r="K54" s="34">
        <f t="shared" si="47"/>
        <v>10000</v>
      </c>
      <c r="L54" s="34">
        <f t="shared" si="47"/>
        <v>10000</v>
      </c>
      <c r="M54" s="34">
        <f t="shared" si="47"/>
        <v>10000</v>
      </c>
      <c r="N54" s="34">
        <f t="shared" si="47"/>
        <v>10000</v>
      </c>
      <c r="O54" s="118">
        <f>SUM(E54:N54)</f>
        <v>60000</v>
      </c>
      <c r="P54" s="37">
        <f>$D54*1.03/12</f>
        <v>10300</v>
      </c>
      <c r="Q54" s="37">
        <f aca="true" t="shared" si="48" ref="Q54:AA56">$D54*1.03/12</f>
        <v>10300</v>
      </c>
      <c r="R54" s="37">
        <f t="shared" si="48"/>
        <v>10300</v>
      </c>
      <c r="S54" s="37">
        <f t="shared" si="48"/>
        <v>10300</v>
      </c>
      <c r="T54" s="37">
        <f t="shared" si="48"/>
        <v>10300</v>
      </c>
      <c r="U54" s="37">
        <f t="shared" si="48"/>
        <v>10300</v>
      </c>
      <c r="V54" s="37">
        <f t="shared" si="48"/>
        <v>10300</v>
      </c>
      <c r="W54" s="37">
        <f t="shared" si="48"/>
        <v>10300</v>
      </c>
      <c r="X54" s="37">
        <f t="shared" si="48"/>
        <v>10300</v>
      </c>
      <c r="Y54" s="37">
        <f t="shared" si="48"/>
        <v>10300</v>
      </c>
      <c r="Z54" s="37">
        <f t="shared" si="48"/>
        <v>10300</v>
      </c>
      <c r="AA54" s="37">
        <f t="shared" si="48"/>
        <v>10300</v>
      </c>
      <c r="AB54" s="131">
        <f aca="true" t="shared" si="49" ref="AB54:AB59">SUM(P54:AA54)</f>
        <v>123600</v>
      </c>
      <c r="AC54" s="34">
        <f>AB54*1.05</f>
        <v>129780</v>
      </c>
      <c r="AD54" s="34">
        <f>AC54*1.05</f>
        <v>136269</v>
      </c>
      <c r="AE54" s="34">
        <f>AD54*1.05</f>
        <v>143082.45</v>
      </c>
    </row>
    <row r="55" spans="3:31" ht="11.25">
      <c r="C55" s="29" t="s">
        <v>216</v>
      </c>
      <c r="D55" s="34">
        <v>75000</v>
      </c>
      <c r="E55" s="34"/>
      <c r="F55" s="34"/>
      <c r="G55" s="34"/>
      <c r="H55" s="34"/>
      <c r="I55" s="34"/>
      <c r="J55" s="34"/>
      <c r="K55" s="34">
        <f>$D55/12</f>
        <v>6250</v>
      </c>
      <c r="L55" s="34">
        <f t="shared" si="47"/>
        <v>6250</v>
      </c>
      <c r="M55" s="34">
        <f t="shared" si="47"/>
        <v>6250</v>
      </c>
      <c r="N55" s="34">
        <f t="shared" si="47"/>
        <v>6250</v>
      </c>
      <c r="O55" s="118">
        <f>SUM(E55:N55)</f>
        <v>25000</v>
      </c>
      <c r="P55" s="37">
        <f>$D55*1.03/12</f>
        <v>6437.5</v>
      </c>
      <c r="Q55" s="37">
        <f t="shared" si="48"/>
        <v>6437.5</v>
      </c>
      <c r="R55" s="37">
        <f t="shared" si="48"/>
        <v>6437.5</v>
      </c>
      <c r="S55" s="37">
        <f t="shared" si="48"/>
        <v>6437.5</v>
      </c>
      <c r="T55" s="37">
        <f t="shared" si="48"/>
        <v>6437.5</v>
      </c>
      <c r="U55" s="37">
        <f t="shared" si="48"/>
        <v>6437.5</v>
      </c>
      <c r="V55" s="37">
        <f t="shared" si="48"/>
        <v>6437.5</v>
      </c>
      <c r="W55" s="37">
        <f t="shared" si="48"/>
        <v>6437.5</v>
      </c>
      <c r="X55" s="37">
        <f t="shared" si="48"/>
        <v>6437.5</v>
      </c>
      <c r="Y55" s="37">
        <f t="shared" si="48"/>
        <v>6437.5</v>
      </c>
      <c r="Z55" s="37">
        <f t="shared" si="48"/>
        <v>6437.5</v>
      </c>
      <c r="AA55" s="37">
        <f t="shared" si="48"/>
        <v>6437.5</v>
      </c>
      <c r="AB55" s="131">
        <f t="shared" si="49"/>
        <v>77250</v>
      </c>
      <c r="AC55" s="34">
        <f>AB55*1.05</f>
        <v>81112.5</v>
      </c>
      <c r="AD55" s="34">
        <f>Annual_Salary*1.05</f>
        <v>78750</v>
      </c>
      <c r="AE55" s="34">
        <f>Annual_Salary*1.05</f>
        <v>78750</v>
      </c>
    </row>
    <row r="56" spans="3:31" ht="11.25">
      <c r="C56" s="29" t="s">
        <v>215</v>
      </c>
      <c r="D56" s="34">
        <v>60000</v>
      </c>
      <c r="E56" s="34"/>
      <c r="F56" s="34"/>
      <c r="G56" s="34"/>
      <c r="H56" s="34"/>
      <c r="I56" s="34"/>
      <c r="J56" s="34"/>
      <c r="K56" s="34">
        <f t="shared" si="47"/>
        <v>5000</v>
      </c>
      <c r="L56" s="34">
        <f t="shared" si="47"/>
        <v>5000</v>
      </c>
      <c r="M56" s="34">
        <f t="shared" si="47"/>
        <v>5000</v>
      </c>
      <c r="N56" s="34">
        <f t="shared" si="47"/>
        <v>5000</v>
      </c>
      <c r="O56" s="118">
        <f>SUM(E56:N56)</f>
        <v>20000</v>
      </c>
      <c r="P56" s="37">
        <f>$D56*1.03/12</f>
        <v>5150</v>
      </c>
      <c r="Q56" s="37">
        <f t="shared" si="48"/>
        <v>5150</v>
      </c>
      <c r="R56" s="37">
        <f t="shared" si="48"/>
        <v>5150</v>
      </c>
      <c r="S56" s="37">
        <f t="shared" si="48"/>
        <v>5150</v>
      </c>
      <c r="T56" s="37">
        <f t="shared" si="48"/>
        <v>5150</v>
      </c>
      <c r="U56" s="37">
        <f t="shared" si="48"/>
        <v>5150</v>
      </c>
      <c r="V56" s="37">
        <f t="shared" si="48"/>
        <v>5150</v>
      </c>
      <c r="W56" s="37">
        <f t="shared" si="48"/>
        <v>5150</v>
      </c>
      <c r="X56" s="37">
        <f t="shared" si="48"/>
        <v>5150</v>
      </c>
      <c r="Y56" s="37">
        <f t="shared" si="48"/>
        <v>5150</v>
      </c>
      <c r="Z56" s="37">
        <f t="shared" si="48"/>
        <v>5150</v>
      </c>
      <c r="AA56" s="37">
        <f t="shared" si="48"/>
        <v>5150</v>
      </c>
      <c r="AB56" s="131">
        <f t="shared" si="49"/>
        <v>61800</v>
      </c>
      <c r="AC56" s="34">
        <f>AB56*1.05</f>
        <v>64890</v>
      </c>
      <c r="AD56" s="34">
        <f aca="true" t="shared" si="50" ref="AD56:AE62">AC56*1.05</f>
        <v>68134.5</v>
      </c>
      <c r="AE56" s="34">
        <f t="shared" si="50"/>
        <v>71541.225</v>
      </c>
    </row>
    <row r="57" spans="3:31" ht="11.25">
      <c r="C57" s="29" t="s">
        <v>215</v>
      </c>
      <c r="D57" s="34">
        <v>60000</v>
      </c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118"/>
      <c r="P57" s="34"/>
      <c r="Q57" s="37"/>
      <c r="R57" s="37"/>
      <c r="S57" s="34">
        <f aca="true" t="shared" si="51" ref="S57:AA57">$D57/12</f>
        <v>5000</v>
      </c>
      <c r="T57" s="34">
        <f t="shared" si="51"/>
        <v>5000</v>
      </c>
      <c r="U57" s="34">
        <f t="shared" si="51"/>
        <v>5000</v>
      </c>
      <c r="V57" s="34">
        <f t="shared" si="51"/>
        <v>5000</v>
      </c>
      <c r="W57" s="34">
        <f t="shared" si="51"/>
        <v>5000</v>
      </c>
      <c r="X57" s="34">
        <f t="shared" si="51"/>
        <v>5000</v>
      </c>
      <c r="Y57" s="34">
        <f t="shared" si="51"/>
        <v>5000</v>
      </c>
      <c r="Z57" s="34">
        <f t="shared" si="51"/>
        <v>5000</v>
      </c>
      <c r="AA57" s="34">
        <f t="shared" si="51"/>
        <v>5000</v>
      </c>
      <c r="AB57" s="131">
        <f t="shared" si="49"/>
        <v>45000</v>
      </c>
      <c r="AC57" s="34">
        <f>$D57*1.05</f>
        <v>63000</v>
      </c>
      <c r="AD57" s="34">
        <f t="shared" si="50"/>
        <v>66150</v>
      </c>
      <c r="AE57" s="34">
        <f t="shared" si="50"/>
        <v>69457.5</v>
      </c>
    </row>
    <row r="58" spans="3:31" ht="11.25">
      <c r="C58" s="29" t="s">
        <v>215</v>
      </c>
      <c r="D58" s="34">
        <v>60000</v>
      </c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118"/>
      <c r="P58" s="34"/>
      <c r="Q58" s="37"/>
      <c r="R58" s="37"/>
      <c r="S58" s="37"/>
      <c r="T58" s="37"/>
      <c r="U58" s="37"/>
      <c r="V58" s="34"/>
      <c r="W58" s="34"/>
      <c r="X58" s="34">
        <f>$D58/12</f>
        <v>5000</v>
      </c>
      <c r="Y58" s="34">
        <f>$D58/12</f>
        <v>5000</v>
      </c>
      <c r="Z58" s="34">
        <f>$D58/12</f>
        <v>5000</v>
      </c>
      <c r="AA58" s="34">
        <f>$D58/12</f>
        <v>5000</v>
      </c>
      <c r="AB58" s="131">
        <f t="shared" si="49"/>
        <v>20000</v>
      </c>
      <c r="AC58" s="34">
        <f>$D58*1.05</f>
        <v>63000</v>
      </c>
      <c r="AD58" s="34">
        <f t="shared" si="50"/>
        <v>66150</v>
      </c>
      <c r="AE58" s="34">
        <f t="shared" si="50"/>
        <v>69457.5</v>
      </c>
    </row>
    <row r="59" spans="3:31" ht="11.25">
      <c r="C59" s="29" t="s">
        <v>215</v>
      </c>
      <c r="D59" s="34">
        <v>60000</v>
      </c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118"/>
      <c r="P59" s="37"/>
      <c r="Q59" s="37"/>
      <c r="R59" s="37"/>
      <c r="S59" s="37"/>
      <c r="T59" s="37"/>
      <c r="U59" s="37"/>
      <c r="V59" s="34"/>
      <c r="W59" s="37"/>
      <c r="X59" s="37"/>
      <c r="Y59" s="34"/>
      <c r="Z59" s="34">
        <f>$D59/12</f>
        <v>5000</v>
      </c>
      <c r="AA59" s="34">
        <f>$D59/12</f>
        <v>5000</v>
      </c>
      <c r="AB59" s="131">
        <f t="shared" si="49"/>
        <v>10000</v>
      </c>
      <c r="AC59" s="34">
        <f>$D59*1.05</f>
        <v>63000</v>
      </c>
      <c r="AD59" s="34">
        <f t="shared" si="50"/>
        <v>66150</v>
      </c>
      <c r="AE59" s="34">
        <f t="shared" si="50"/>
        <v>69457.5</v>
      </c>
    </row>
    <row r="60" spans="3:31" ht="11.25">
      <c r="C60" s="29" t="s">
        <v>215</v>
      </c>
      <c r="D60" s="34">
        <v>60000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118"/>
      <c r="P60" s="37"/>
      <c r="Q60" s="37"/>
      <c r="R60" s="37"/>
      <c r="S60" s="37"/>
      <c r="T60" s="37"/>
      <c r="U60" s="37"/>
      <c r="V60" s="34"/>
      <c r="W60" s="37"/>
      <c r="X60" s="37"/>
      <c r="Y60" s="37"/>
      <c r="Z60" s="37"/>
      <c r="AA60" s="37"/>
      <c r="AB60" s="131"/>
      <c r="AC60" s="34">
        <f>$D60</f>
        <v>60000</v>
      </c>
      <c r="AD60" s="34">
        <f t="shared" si="50"/>
        <v>63000</v>
      </c>
      <c r="AE60" s="34">
        <f t="shared" si="50"/>
        <v>66150</v>
      </c>
    </row>
    <row r="61" spans="3:31" ht="11.25">
      <c r="C61" s="29" t="s">
        <v>215</v>
      </c>
      <c r="D61" s="34">
        <v>60000</v>
      </c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118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4"/>
      <c r="AA61" s="37"/>
      <c r="AB61" s="131"/>
      <c r="AC61" s="34">
        <f>D61</f>
        <v>60000</v>
      </c>
      <c r="AD61" s="34">
        <f t="shared" si="50"/>
        <v>63000</v>
      </c>
      <c r="AE61" s="34">
        <f t="shared" si="50"/>
        <v>66150</v>
      </c>
    </row>
    <row r="62" spans="3:31" ht="11.25">
      <c r="C62" s="29" t="s">
        <v>215</v>
      </c>
      <c r="D62" s="34">
        <v>60000</v>
      </c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118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4"/>
      <c r="AA62" s="37"/>
      <c r="AB62" s="131"/>
      <c r="AC62" s="34">
        <f>D62</f>
        <v>60000</v>
      </c>
      <c r="AD62" s="34">
        <f t="shared" si="50"/>
        <v>63000</v>
      </c>
      <c r="AE62" s="34">
        <f t="shared" si="50"/>
        <v>66150</v>
      </c>
    </row>
    <row r="63" spans="3:31" ht="11.25">
      <c r="C63" s="29" t="s">
        <v>215</v>
      </c>
      <c r="D63" s="34">
        <v>60000</v>
      </c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118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131"/>
      <c r="AC63" s="34"/>
      <c r="AD63" s="34">
        <f>D63</f>
        <v>60000</v>
      </c>
      <c r="AE63" s="34">
        <f>AD63*1.05</f>
        <v>63000</v>
      </c>
    </row>
    <row r="64" spans="3:31" ht="11.25">
      <c r="C64" s="29" t="s">
        <v>215</v>
      </c>
      <c r="D64" s="34">
        <v>60000</v>
      </c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118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131"/>
      <c r="AC64" s="34"/>
      <c r="AD64" s="34">
        <f>D64</f>
        <v>60000</v>
      </c>
      <c r="AE64" s="34">
        <f>AD64*1.05</f>
        <v>63000</v>
      </c>
    </row>
    <row r="65" spans="3:31" ht="11.25">
      <c r="C65" s="29" t="s">
        <v>215</v>
      </c>
      <c r="D65" s="34">
        <v>60000</v>
      </c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118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131"/>
      <c r="AC65" s="34"/>
      <c r="AD65" s="34">
        <f>D65</f>
        <v>60000</v>
      </c>
      <c r="AE65" s="34">
        <f>AD65*1.05</f>
        <v>63000</v>
      </c>
    </row>
    <row r="66" spans="3:31" ht="11.25">
      <c r="C66" s="29" t="s">
        <v>215</v>
      </c>
      <c r="D66" s="34">
        <v>60000</v>
      </c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118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131"/>
      <c r="AC66" s="34"/>
      <c r="AD66" s="34"/>
      <c r="AE66" s="34">
        <f>D66</f>
        <v>60000</v>
      </c>
    </row>
    <row r="67" spans="3:31" ht="11.25">
      <c r="C67" s="29" t="s">
        <v>215</v>
      </c>
      <c r="D67" s="34">
        <v>60000</v>
      </c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118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131"/>
      <c r="AC67" s="34"/>
      <c r="AD67" s="34"/>
      <c r="AE67" s="34">
        <f>D67</f>
        <v>60000</v>
      </c>
    </row>
    <row r="68" spans="3:31" ht="11.25">
      <c r="C68" s="29" t="s">
        <v>215</v>
      </c>
      <c r="D68" s="34">
        <v>60000</v>
      </c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118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131"/>
      <c r="AC68" s="34"/>
      <c r="AD68" s="34"/>
      <c r="AE68" s="34">
        <f>D68</f>
        <v>60000</v>
      </c>
    </row>
    <row r="69" spans="3:31" ht="11.25">
      <c r="C69" s="29" t="s">
        <v>215</v>
      </c>
      <c r="D69" s="34">
        <v>60000</v>
      </c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118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131"/>
      <c r="AC69" s="34"/>
      <c r="AD69" s="34"/>
      <c r="AE69" s="34">
        <f>D69</f>
        <v>60000</v>
      </c>
    </row>
    <row r="70" spans="3:31" ht="12" thickBot="1">
      <c r="C70" s="29" t="s">
        <v>177</v>
      </c>
      <c r="D70" s="34">
        <v>75000</v>
      </c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116"/>
      <c r="P70" s="116">
        <f aca="true" t="shared" si="52" ref="P70:AA70">$D70/12</f>
        <v>6250</v>
      </c>
      <c r="Q70" s="35">
        <f t="shared" si="52"/>
        <v>6250</v>
      </c>
      <c r="R70" s="35">
        <f t="shared" si="52"/>
        <v>6250</v>
      </c>
      <c r="S70" s="35">
        <f t="shared" si="52"/>
        <v>6250</v>
      </c>
      <c r="T70" s="35">
        <f t="shared" si="52"/>
        <v>6250</v>
      </c>
      <c r="U70" s="35">
        <f t="shared" si="52"/>
        <v>6250</v>
      </c>
      <c r="V70" s="35">
        <f t="shared" si="52"/>
        <v>6250</v>
      </c>
      <c r="W70" s="35">
        <f t="shared" si="52"/>
        <v>6250</v>
      </c>
      <c r="X70" s="35">
        <f t="shared" si="52"/>
        <v>6250</v>
      </c>
      <c r="Y70" s="35">
        <f t="shared" si="52"/>
        <v>6250</v>
      </c>
      <c r="Z70" s="35">
        <f t="shared" si="52"/>
        <v>6250</v>
      </c>
      <c r="AA70" s="35">
        <f t="shared" si="52"/>
        <v>6250</v>
      </c>
      <c r="AB70" s="116">
        <f>SUM(P70:AA70)</f>
        <v>75000</v>
      </c>
      <c r="AC70" s="35">
        <f>AB70*1.05</f>
        <v>78750</v>
      </c>
      <c r="AD70" s="35">
        <f>AC70*1.05</f>
        <v>82687.5</v>
      </c>
      <c r="AE70" s="35">
        <f>Annual_Salary*1.05</f>
        <v>78750</v>
      </c>
    </row>
    <row r="71" spans="2:31" ht="11.25">
      <c r="B71" s="29" t="s">
        <v>213</v>
      </c>
      <c r="D71" s="34"/>
      <c r="E71" s="34">
        <f>SUM(E54:E70)</f>
        <v>0</v>
      </c>
      <c r="F71" s="34">
        <f aca="true" t="shared" si="53" ref="F71:AA71">SUM(F54:F70)</f>
        <v>0</v>
      </c>
      <c r="G71" s="34">
        <f t="shared" si="53"/>
        <v>0</v>
      </c>
      <c r="H71" s="34">
        <f t="shared" si="53"/>
        <v>0</v>
      </c>
      <c r="I71" s="34">
        <f t="shared" si="53"/>
        <v>10000</v>
      </c>
      <c r="J71" s="34">
        <f t="shared" si="53"/>
        <v>10000</v>
      </c>
      <c r="K71" s="34">
        <f t="shared" si="53"/>
        <v>21250</v>
      </c>
      <c r="L71" s="34">
        <f t="shared" si="53"/>
        <v>21250</v>
      </c>
      <c r="M71" s="34">
        <f t="shared" si="53"/>
        <v>21250</v>
      </c>
      <c r="N71" s="34">
        <f t="shared" si="53"/>
        <v>21250</v>
      </c>
      <c r="O71" s="118">
        <f>SUM(O54:O70)</f>
        <v>105000</v>
      </c>
      <c r="P71" s="34">
        <f t="shared" si="53"/>
        <v>28137.5</v>
      </c>
      <c r="Q71" s="34">
        <f t="shared" si="53"/>
        <v>28137.5</v>
      </c>
      <c r="R71" s="34">
        <f t="shared" si="53"/>
        <v>28137.5</v>
      </c>
      <c r="S71" s="34">
        <f t="shared" si="53"/>
        <v>33137.5</v>
      </c>
      <c r="T71" s="34">
        <f t="shared" si="53"/>
        <v>33137.5</v>
      </c>
      <c r="U71" s="34">
        <f t="shared" si="53"/>
        <v>33137.5</v>
      </c>
      <c r="V71" s="34">
        <f t="shared" si="53"/>
        <v>33137.5</v>
      </c>
      <c r="W71" s="34">
        <f t="shared" si="53"/>
        <v>33137.5</v>
      </c>
      <c r="X71" s="34">
        <f t="shared" si="53"/>
        <v>38137.5</v>
      </c>
      <c r="Y71" s="34">
        <f t="shared" si="53"/>
        <v>38137.5</v>
      </c>
      <c r="Z71" s="34">
        <f t="shared" si="53"/>
        <v>43137.5</v>
      </c>
      <c r="AA71" s="34">
        <f t="shared" si="53"/>
        <v>43137.5</v>
      </c>
      <c r="AB71" s="131">
        <f>SUM(AB54:AB70)</f>
        <v>412650</v>
      </c>
      <c r="AC71" s="34">
        <f>SUM(AC54:AC70)</f>
        <v>723532.5</v>
      </c>
      <c r="AD71" s="34">
        <f>SUM(AD54:AD70)</f>
        <v>933291</v>
      </c>
      <c r="AE71" s="34">
        <f>SUM(AE54:AE70)</f>
        <v>1207946.175</v>
      </c>
    </row>
    <row r="72" spans="2:31" ht="11.25">
      <c r="B72" s="29" t="s">
        <v>217</v>
      </c>
      <c r="D72" s="34"/>
      <c r="E72" s="37">
        <f aca="true" t="shared" si="54" ref="E72:N72">COUNTIF(E54:E70,"&gt;0")</f>
        <v>0</v>
      </c>
      <c r="F72" s="37">
        <f t="shared" si="54"/>
        <v>0</v>
      </c>
      <c r="G72" s="37">
        <f t="shared" si="54"/>
        <v>0</v>
      </c>
      <c r="H72" s="37">
        <f t="shared" si="54"/>
        <v>0</v>
      </c>
      <c r="I72" s="37">
        <f t="shared" si="54"/>
        <v>1</v>
      </c>
      <c r="J72" s="37">
        <f t="shared" si="54"/>
        <v>1</v>
      </c>
      <c r="K72" s="37">
        <f t="shared" si="54"/>
        <v>3</v>
      </c>
      <c r="L72" s="37">
        <f t="shared" si="54"/>
        <v>3</v>
      </c>
      <c r="M72" s="37">
        <f t="shared" si="54"/>
        <v>3</v>
      </c>
      <c r="N72" s="128">
        <f t="shared" si="54"/>
        <v>3</v>
      </c>
      <c r="O72" s="118">
        <f>COUNTIF(O54:O70,"&gt;0")</f>
        <v>3</v>
      </c>
      <c r="P72" s="131">
        <f aca="true" t="shared" si="55" ref="P72:AA72">COUNTIF(P54:P70,"&gt;0")</f>
        <v>4</v>
      </c>
      <c r="Q72" s="37">
        <f t="shared" si="55"/>
        <v>4</v>
      </c>
      <c r="R72" s="37">
        <f t="shared" si="55"/>
        <v>4</v>
      </c>
      <c r="S72" s="37">
        <f t="shared" si="55"/>
        <v>5</v>
      </c>
      <c r="T72" s="37">
        <f t="shared" si="55"/>
        <v>5</v>
      </c>
      <c r="U72" s="37">
        <f t="shared" si="55"/>
        <v>5</v>
      </c>
      <c r="V72" s="37">
        <f t="shared" si="55"/>
        <v>5</v>
      </c>
      <c r="W72" s="37">
        <f t="shared" si="55"/>
        <v>5</v>
      </c>
      <c r="X72" s="37">
        <f t="shared" si="55"/>
        <v>6</v>
      </c>
      <c r="Y72" s="37">
        <f t="shared" si="55"/>
        <v>6</v>
      </c>
      <c r="Z72" s="37">
        <f t="shared" si="55"/>
        <v>7</v>
      </c>
      <c r="AA72" s="128">
        <f t="shared" si="55"/>
        <v>7</v>
      </c>
      <c r="AB72" s="131">
        <f>COUNTIF(AB54:AB70,"&gt;0")</f>
        <v>7</v>
      </c>
      <c r="AC72" s="34">
        <f>COUNTIF(AC54:AC70,"&gt;0")</f>
        <v>10</v>
      </c>
      <c r="AD72" s="34">
        <f>COUNTIF(AD54:AD70,"&gt;0")</f>
        <v>13</v>
      </c>
      <c r="AE72" s="34">
        <f>COUNTIF(AE54:AE70,"&gt;0")</f>
        <v>17</v>
      </c>
    </row>
    <row r="73" spans="4:31" ht="11.25"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118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131"/>
      <c r="AC73" s="34"/>
      <c r="AD73" s="34"/>
      <c r="AE73" s="34"/>
    </row>
    <row r="74" spans="1:31" ht="12">
      <c r="A74" s="48" t="s">
        <v>32</v>
      </c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118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131"/>
      <c r="AC74" s="34"/>
      <c r="AD74" s="34"/>
      <c r="AE74" s="34"/>
    </row>
    <row r="75" spans="2:31" ht="11.25">
      <c r="B75" s="29" t="s">
        <v>4</v>
      </c>
      <c r="D75" s="34"/>
      <c r="E75" s="34">
        <f>E12</f>
        <v>17500</v>
      </c>
      <c r="F75" s="34">
        <f aca="true" t="shared" si="56" ref="F75:N75">F12</f>
        <v>17500</v>
      </c>
      <c r="G75" s="34">
        <f t="shared" si="56"/>
        <v>26666.666666666668</v>
      </c>
      <c r="H75" s="34">
        <f t="shared" si="56"/>
        <v>26666.666666666668</v>
      </c>
      <c r="I75" s="34">
        <f t="shared" si="56"/>
        <v>26666.666666666668</v>
      </c>
      <c r="J75" s="34">
        <f t="shared" si="56"/>
        <v>26666.666666666668</v>
      </c>
      <c r="K75" s="34">
        <f t="shared" si="56"/>
        <v>26666.666666666668</v>
      </c>
      <c r="L75" s="34">
        <f t="shared" si="56"/>
        <v>26666.666666666668</v>
      </c>
      <c r="M75" s="34">
        <f t="shared" si="56"/>
        <v>26666.666666666668</v>
      </c>
      <c r="N75" s="34">
        <f t="shared" si="56"/>
        <v>26666.666666666668</v>
      </c>
      <c r="O75" s="118">
        <f>SUM(E75:N75)</f>
        <v>248333.3333333333</v>
      </c>
      <c r="P75" s="34">
        <f>P12</f>
        <v>36079.166666666664</v>
      </c>
      <c r="Q75" s="34">
        <f aca="true" t="shared" si="57" ref="Q75:AA75">Q12</f>
        <v>36079.166666666664</v>
      </c>
      <c r="R75" s="34">
        <f t="shared" si="57"/>
        <v>36079.166666666664</v>
      </c>
      <c r="S75" s="34">
        <f t="shared" si="57"/>
        <v>36079.166666666664</v>
      </c>
      <c r="T75" s="34">
        <f t="shared" si="57"/>
        <v>36079.166666666664</v>
      </c>
      <c r="U75" s="34">
        <f t="shared" si="57"/>
        <v>36079.166666666664</v>
      </c>
      <c r="V75" s="34">
        <f t="shared" si="57"/>
        <v>46912.5</v>
      </c>
      <c r="W75" s="34">
        <f t="shared" si="57"/>
        <v>46912.5</v>
      </c>
      <c r="X75" s="34">
        <f t="shared" si="57"/>
        <v>49412.5</v>
      </c>
      <c r="Y75" s="34">
        <f t="shared" si="57"/>
        <v>49412.5</v>
      </c>
      <c r="Z75" s="34">
        <f t="shared" si="57"/>
        <v>49412.5</v>
      </c>
      <c r="AA75" s="34">
        <f t="shared" si="57"/>
        <v>49412.5</v>
      </c>
      <c r="AB75" s="131">
        <f>AB12</f>
        <v>507950</v>
      </c>
      <c r="AC75" s="34">
        <f>AC12</f>
        <v>594897.5</v>
      </c>
      <c r="AD75" s="34">
        <f>AD12</f>
        <v>624436.375</v>
      </c>
      <c r="AE75" s="34">
        <f>AE12</f>
        <v>655446.0137499999</v>
      </c>
    </row>
    <row r="76" spans="2:31" ht="11.25">
      <c r="B76" s="29" t="s">
        <v>3</v>
      </c>
      <c r="D76" s="34"/>
      <c r="E76" s="34">
        <f>E26</f>
        <v>0</v>
      </c>
      <c r="F76" s="34">
        <f aca="true" t="shared" si="58" ref="F76:N76">F26</f>
        <v>0</v>
      </c>
      <c r="G76" s="34">
        <f t="shared" si="58"/>
        <v>0</v>
      </c>
      <c r="H76" s="34">
        <f t="shared" si="58"/>
        <v>0</v>
      </c>
      <c r="I76" s="34">
        <f t="shared" si="58"/>
        <v>0</v>
      </c>
      <c r="J76" s="34">
        <f t="shared" si="58"/>
        <v>0</v>
      </c>
      <c r="K76" s="34">
        <f t="shared" si="58"/>
        <v>0</v>
      </c>
      <c r="L76" s="34">
        <f t="shared" si="58"/>
        <v>25000</v>
      </c>
      <c r="M76" s="34">
        <f t="shared" si="58"/>
        <v>32500</v>
      </c>
      <c r="N76" s="34">
        <f t="shared" si="58"/>
        <v>45000</v>
      </c>
      <c r="O76" s="118">
        <f>SUM(E76:N76)</f>
        <v>102500</v>
      </c>
      <c r="P76" s="37">
        <f>P26</f>
        <v>50933.33333333333</v>
      </c>
      <c r="Q76" s="37">
        <f aca="true" t="shared" si="59" ref="Q76:AA76">Q26</f>
        <v>50933.33333333333</v>
      </c>
      <c r="R76" s="37">
        <f t="shared" si="59"/>
        <v>50933.33333333333</v>
      </c>
      <c r="S76" s="37">
        <f t="shared" si="59"/>
        <v>50933.33333333333</v>
      </c>
      <c r="T76" s="37">
        <f t="shared" si="59"/>
        <v>50933.33333333333</v>
      </c>
      <c r="U76" s="37">
        <f t="shared" si="59"/>
        <v>50933.33333333333</v>
      </c>
      <c r="V76" s="37">
        <f t="shared" si="59"/>
        <v>56766.66666666667</v>
      </c>
      <c r="W76" s="37">
        <f t="shared" si="59"/>
        <v>56766.66666666667</v>
      </c>
      <c r="X76" s="37">
        <f t="shared" si="59"/>
        <v>69266.66666666667</v>
      </c>
      <c r="Y76" s="37">
        <f t="shared" si="59"/>
        <v>69266.66666666667</v>
      </c>
      <c r="Z76" s="37">
        <f t="shared" si="59"/>
        <v>69266.66666666667</v>
      </c>
      <c r="AA76" s="37">
        <f t="shared" si="59"/>
        <v>69266.66666666667</v>
      </c>
      <c r="AB76" s="131">
        <f>SUM(P76:AA76)</f>
        <v>696199.9999999999</v>
      </c>
      <c r="AC76" s="34">
        <f>AC26</f>
        <v>717085.9999999999</v>
      </c>
      <c r="AD76" s="34">
        <f>AD26</f>
        <v>1030752.8</v>
      </c>
      <c r="AE76" s="34">
        <f>AE26</f>
        <v>1081547.81</v>
      </c>
    </row>
    <row r="77" spans="2:31" ht="11.25">
      <c r="B77" s="29" t="s">
        <v>2</v>
      </c>
      <c r="D77" s="34"/>
      <c r="E77" s="37">
        <f>E50</f>
        <v>47083.333333333336</v>
      </c>
      <c r="F77" s="37">
        <f aca="true" t="shared" si="60" ref="F77:N77">F50</f>
        <v>54166.66666666667</v>
      </c>
      <c r="G77" s="37">
        <f t="shared" si="60"/>
        <v>54166.66666666667</v>
      </c>
      <c r="H77" s="37">
        <f t="shared" si="60"/>
        <v>54166.66666666667</v>
      </c>
      <c r="I77" s="37">
        <f t="shared" si="60"/>
        <v>65000.00000000001</v>
      </c>
      <c r="J77" s="37">
        <f t="shared" si="60"/>
        <v>65000.00000000001</v>
      </c>
      <c r="K77" s="37">
        <f t="shared" si="60"/>
        <v>65000.00000000001</v>
      </c>
      <c r="L77" s="37">
        <f t="shared" si="60"/>
        <v>69166.66666666667</v>
      </c>
      <c r="M77" s="37">
        <f t="shared" si="60"/>
        <v>69166.66666666667</v>
      </c>
      <c r="N77" s="37">
        <f t="shared" si="60"/>
        <v>69166.66666666667</v>
      </c>
      <c r="O77" s="118">
        <f>SUM(E77:N77)</f>
        <v>612083.3333333334</v>
      </c>
      <c r="P77" s="37">
        <f>P50</f>
        <v>71241.66666666667</v>
      </c>
      <c r="Q77" s="37">
        <f aca="true" t="shared" si="61" ref="Q77:AA77">Q50</f>
        <v>71241.66666666667</v>
      </c>
      <c r="R77" s="37">
        <f t="shared" si="61"/>
        <v>71241.66666666667</v>
      </c>
      <c r="S77" s="37">
        <f t="shared" si="61"/>
        <v>71241.66666666667</v>
      </c>
      <c r="T77" s="37">
        <f t="shared" si="61"/>
        <v>71241.66666666667</v>
      </c>
      <c r="U77" s="37">
        <f t="shared" si="61"/>
        <v>71241.66666666667</v>
      </c>
      <c r="V77" s="37">
        <f t="shared" si="61"/>
        <v>78325</v>
      </c>
      <c r="W77" s="37">
        <f t="shared" si="61"/>
        <v>78325</v>
      </c>
      <c r="X77" s="37">
        <f t="shared" si="61"/>
        <v>78325</v>
      </c>
      <c r="Y77" s="37">
        <f t="shared" si="61"/>
        <v>85408.33333333334</v>
      </c>
      <c r="Z77" s="37">
        <f t="shared" si="61"/>
        <v>92491.66666666667</v>
      </c>
      <c r="AA77" s="37">
        <f t="shared" si="61"/>
        <v>92491.66666666667</v>
      </c>
      <c r="AB77" s="131">
        <f>SUM(P77:AA77)</f>
        <v>932816.6666666666</v>
      </c>
      <c r="AC77" s="37">
        <f>AC50</f>
        <v>1149457.5</v>
      </c>
      <c r="AD77" s="37">
        <f>AD50</f>
        <v>1206930.375</v>
      </c>
      <c r="AE77" s="37">
        <f>AE50</f>
        <v>1267276.89375</v>
      </c>
    </row>
    <row r="78" spans="2:31" ht="12" thickBot="1">
      <c r="B78" s="29" t="s">
        <v>212</v>
      </c>
      <c r="D78" s="34"/>
      <c r="E78" s="35">
        <f>E71</f>
        <v>0</v>
      </c>
      <c r="F78" s="35">
        <f aca="true" t="shared" si="62" ref="F78:N78">F71</f>
        <v>0</v>
      </c>
      <c r="G78" s="35">
        <f t="shared" si="62"/>
        <v>0</v>
      </c>
      <c r="H78" s="35">
        <f t="shared" si="62"/>
        <v>0</v>
      </c>
      <c r="I78" s="35">
        <f t="shared" si="62"/>
        <v>10000</v>
      </c>
      <c r="J78" s="35">
        <f t="shared" si="62"/>
        <v>10000</v>
      </c>
      <c r="K78" s="35">
        <f t="shared" si="62"/>
        <v>21250</v>
      </c>
      <c r="L78" s="35">
        <f t="shared" si="62"/>
        <v>21250</v>
      </c>
      <c r="M78" s="35">
        <f t="shared" si="62"/>
        <v>21250</v>
      </c>
      <c r="N78" s="35">
        <f t="shared" si="62"/>
        <v>21250</v>
      </c>
      <c r="O78" s="120">
        <f>SUM(E78:N78)</f>
        <v>105000</v>
      </c>
      <c r="P78" s="35">
        <f>P71</f>
        <v>28137.5</v>
      </c>
      <c r="Q78" s="35">
        <f aca="true" t="shared" si="63" ref="Q78:AA78">Q71</f>
        <v>28137.5</v>
      </c>
      <c r="R78" s="35">
        <f t="shared" si="63"/>
        <v>28137.5</v>
      </c>
      <c r="S78" s="35">
        <f t="shared" si="63"/>
        <v>33137.5</v>
      </c>
      <c r="T78" s="35">
        <f t="shared" si="63"/>
        <v>33137.5</v>
      </c>
      <c r="U78" s="35">
        <f t="shared" si="63"/>
        <v>33137.5</v>
      </c>
      <c r="V78" s="35">
        <f t="shared" si="63"/>
        <v>33137.5</v>
      </c>
      <c r="W78" s="35">
        <f t="shared" si="63"/>
        <v>33137.5</v>
      </c>
      <c r="X78" s="35">
        <f t="shared" si="63"/>
        <v>38137.5</v>
      </c>
      <c r="Y78" s="35">
        <f t="shared" si="63"/>
        <v>38137.5</v>
      </c>
      <c r="Z78" s="35">
        <f t="shared" si="63"/>
        <v>43137.5</v>
      </c>
      <c r="AA78" s="35">
        <f t="shared" si="63"/>
        <v>43137.5</v>
      </c>
      <c r="AB78" s="116">
        <f>AB71</f>
        <v>412650</v>
      </c>
      <c r="AC78" s="35">
        <f>AC71</f>
        <v>723532.5</v>
      </c>
      <c r="AD78" s="35">
        <f>AD71</f>
        <v>933291</v>
      </c>
      <c r="AE78" s="35">
        <f>AE71</f>
        <v>1207946.175</v>
      </c>
    </row>
    <row r="79" spans="2:31" ht="11.25">
      <c r="B79" s="29" t="s">
        <v>20</v>
      </c>
      <c r="D79" s="34"/>
      <c r="E79" s="34">
        <f>SUM(E75:E78)</f>
        <v>64583.333333333336</v>
      </c>
      <c r="F79" s="34">
        <f aca="true" t="shared" si="64" ref="F79:N79">SUM(F75:F78)</f>
        <v>71666.66666666667</v>
      </c>
      <c r="G79" s="34">
        <f t="shared" si="64"/>
        <v>80833.33333333334</v>
      </c>
      <c r="H79" s="34">
        <f t="shared" si="64"/>
        <v>80833.33333333334</v>
      </c>
      <c r="I79" s="34">
        <f t="shared" si="64"/>
        <v>101666.66666666667</v>
      </c>
      <c r="J79" s="34">
        <f t="shared" si="64"/>
        <v>101666.66666666667</v>
      </c>
      <c r="K79" s="34">
        <f t="shared" si="64"/>
        <v>112916.66666666667</v>
      </c>
      <c r="L79" s="34">
        <f t="shared" si="64"/>
        <v>142083.33333333334</v>
      </c>
      <c r="M79" s="34">
        <f t="shared" si="64"/>
        <v>149583.33333333334</v>
      </c>
      <c r="N79" s="34">
        <f t="shared" si="64"/>
        <v>162083.33333333334</v>
      </c>
      <c r="O79" s="133">
        <f>SUM(O75:O78)</f>
        <v>1067916.6666666667</v>
      </c>
      <c r="P79" s="37">
        <f>SUM(P75:P78)</f>
        <v>186391.6666666667</v>
      </c>
      <c r="Q79" s="37">
        <f aca="true" t="shared" si="65" ref="Q79:AA79">SUM(Q75:Q78)</f>
        <v>186391.6666666667</v>
      </c>
      <c r="R79" s="37">
        <f t="shared" si="65"/>
        <v>186391.6666666667</v>
      </c>
      <c r="S79" s="37">
        <f t="shared" si="65"/>
        <v>191391.6666666667</v>
      </c>
      <c r="T79" s="37">
        <f t="shared" si="65"/>
        <v>191391.6666666667</v>
      </c>
      <c r="U79" s="37">
        <f t="shared" si="65"/>
        <v>191391.6666666667</v>
      </c>
      <c r="V79" s="37">
        <f t="shared" si="65"/>
        <v>215141.6666666667</v>
      </c>
      <c r="W79" s="37">
        <f t="shared" si="65"/>
        <v>215141.6666666667</v>
      </c>
      <c r="X79" s="37">
        <f t="shared" si="65"/>
        <v>235141.6666666667</v>
      </c>
      <c r="Y79" s="37">
        <f t="shared" si="65"/>
        <v>242225</v>
      </c>
      <c r="Z79" s="37">
        <f t="shared" si="65"/>
        <v>254308.33333333334</v>
      </c>
      <c r="AA79" s="37">
        <f t="shared" si="65"/>
        <v>254308.33333333334</v>
      </c>
      <c r="AB79" s="132">
        <f>SUM(AB75:AB78)</f>
        <v>2549616.6666666665</v>
      </c>
      <c r="AC79" s="37">
        <f>SUM(AC75:AC78)</f>
        <v>3184973.5</v>
      </c>
      <c r="AD79" s="37">
        <f>SUM(AD75:AD78)</f>
        <v>3795410.55</v>
      </c>
      <c r="AE79" s="37">
        <f>SUM(AE75:AE78)</f>
        <v>4212216.8925</v>
      </c>
    </row>
    <row r="80" spans="1:31" ht="11.25">
      <c r="A80" s="31"/>
      <c r="B80" s="31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118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131"/>
      <c r="AC80" s="34"/>
      <c r="AD80" s="34"/>
      <c r="AE80" s="34"/>
    </row>
    <row r="81" spans="1:31" ht="12">
      <c r="A81" s="48" t="s">
        <v>21</v>
      </c>
      <c r="B81" s="31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118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131"/>
      <c r="AC81" s="34"/>
      <c r="AD81" s="34"/>
      <c r="AE81" s="34"/>
    </row>
    <row r="82" spans="1:31" ht="11.25">
      <c r="A82" s="31"/>
      <c r="B82" s="29" t="s">
        <v>4</v>
      </c>
      <c r="D82" s="34"/>
      <c r="E82" s="37">
        <f>E13</f>
        <v>2</v>
      </c>
      <c r="F82" s="37">
        <f aca="true" t="shared" si="66" ref="F82:N82">F13</f>
        <v>2</v>
      </c>
      <c r="G82" s="37">
        <f t="shared" si="66"/>
        <v>4</v>
      </c>
      <c r="H82" s="37">
        <f t="shared" si="66"/>
        <v>4</v>
      </c>
      <c r="I82" s="37">
        <f t="shared" si="66"/>
        <v>4</v>
      </c>
      <c r="J82" s="37">
        <f t="shared" si="66"/>
        <v>4</v>
      </c>
      <c r="K82" s="37">
        <f t="shared" si="66"/>
        <v>4</v>
      </c>
      <c r="L82" s="37">
        <f t="shared" si="66"/>
        <v>4</v>
      </c>
      <c r="M82" s="37">
        <f t="shared" si="66"/>
        <v>4</v>
      </c>
      <c r="N82" s="37">
        <f t="shared" si="66"/>
        <v>4</v>
      </c>
      <c r="O82" s="118">
        <f>O13</f>
        <v>4</v>
      </c>
      <c r="P82" s="131">
        <f aca="true" t="shared" si="67" ref="P82:AA82">P13</f>
        <v>5</v>
      </c>
      <c r="Q82" s="37">
        <f t="shared" si="67"/>
        <v>5</v>
      </c>
      <c r="R82" s="37">
        <f t="shared" si="67"/>
        <v>5</v>
      </c>
      <c r="S82" s="37">
        <f t="shared" si="67"/>
        <v>5</v>
      </c>
      <c r="T82" s="37">
        <f t="shared" si="67"/>
        <v>5</v>
      </c>
      <c r="U82" s="37">
        <f t="shared" si="67"/>
        <v>5</v>
      </c>
      <c r="V82" s="37">
        <f t="shared" si="67"/>
        <v>6</v>
      </c>
      <c r="W82" s="37">
        <f t="shared" si="67"/>
        <v>6</v>
      </c>
      <c r="X82" s="37">
        <f t="shared" si="67"/>
        <v>7</v>
      </c>
      <c r="Y82" s="37">
        <f t="shared" si="67"/>
        <v>7</v>
      </c>
      <c r="Z82" s="37">
        <f t="shared" si="67"/>
        <v>7</v>
      </c>
      <c r="AA82" s="128">
        <f t="shared" si="67"/>
        <v>7</v>
      </c>
      <c r="AB82" s="131">
        <f>AB13</f>
        <v>7</v>
      </c>
      <c r="AC82" s="34">
        <f>AC13</f>
        <v>7</v>
      </c>
      <c r="AD82" s="34">
        <f>AD13</f>
        <v>7</v>
      </c>
      <c r="AE82" s="34">
        <f>AE13</f>
        <v>7</v>
      </c>
    </row>
    <row r="83" spans="1:31" ht="11.25">
      <c r="A83" s="31"/>
      <c r="B83" s="29" t="s">
        <v>3</v>
      </c>
      <c r="D83" s="34"/>
      <c r="E83" s="37">
        <f>E27</f>
        <v>0</v>
      </c>
      <c r="F83" s="37">
        <f aca="true" t="shared" si="68" ref="F83:N83">F27</f>
        <v>0</v>
      </c>
      <c r="G83" s="37">
        <f t="shared" si="68"/>
        <v>0</v>
      </c>
      <c r="H83" s="37">
        <f t="shared" si="68"/>
        <v>0</v>
      </c>
      <c r="I83" s="37">
        <f t="shared" si="68"/>
        <v>0</v>
      </c>
      <c r="J83" s="37">
        <f t="shared" si="68"/>
        <v>0</v>
      </c>
      <c r="K83" s="37">
        <f t="shared" si="68"/>
        <v>0</v>
      </c>
      <c r="L83" s="37">
        <f t="shared" si="68"/>
        <v>1</v>
      </c>
      <c r="M83" s="37">
        <f t="shared" si="68"/>
        <v>2</v>
      </c>
      <c r="N83" s="37">
        <f t="shared" si="68"/>
        <v>3</v>
      </c>
      <c r="O83" s="118">
        <f>O27</f>
        <v>3</v>
      </c>
      <c r="P83" s="131">
        <f aca="true" t="shared" si="69" ref="P83:AA83">P27</f>
        <v>4</v>
      </c>
      <c r="Q83" s="37">
        <f t="shared" si="69"/>
        <v>4</v>
      </c>
      <c r="R83" s="37">
        <f t="shared" si="69"/>
        <v>4</v>
      </c>
      <c r="S83" s="37">
        <f t="shared" si="69"/>
        <v>4</v>
      </c>
      <c r="T83" s="37">
        <f t="shared" si="69"/>
        <v>4</v>
      </c>
      <c r="U83" s="37">
        <f t="shared" si="69"/>
        <v>4</v>
      </c>
      <c r="V83" s="37">
        <f t="shared" si="69"/>
        <v>5</v>
      </c>
      <c r="W83" s="37">
        <f t="shared" si="69"/>
        <v>5</v>
      </c>
      <c r="X83" s="37">
        <f t="shared" si="69"/>
        <v>6</v>
      </c>
      <c r="Y83" s="37">
        <f t="shared" si="69"/>
        <v>6</v>
      </c>
      <c r="Z83" s="37">
        <f t="shared" si="69"/>
        <v>6</v>
      </c>
      <c r="AA83" s="128">
        <f t="shared" si="69"/>
        <v>6</v>
      </c>
      <c r="AB83" s="131">
        <f>AB27</f>
        <v>6</v>
      </c>
      <c r="AC83" s="34">
        <f>AC27</f>
        <v>7</v>
      </c>
      <c r="AD83" s="34">
        <f>AD27</f>
        <v>7</v>
      </c>
      <c r="AE83" s="34">
        <f>AE27</f>
        <v>7</v>
      </c>
    </row>
    <row r="84" spans="1:31" ht="11.25">
      <c r="A84" s="31"/>
      <c r="B84" s="29" t="s">
        <v>2</v>
      </c>
      <c r="D84" s="34"/>
      <c r="E84" s="37">
        <f>E51</f>
        <v>5</v>
      </c>
      <c r="F84" s="37">
        <f aca="true" t="shared" si="70" ref="F84:N84">F51</f>
        <v>6</v>
      </c>
      <c r="G84" s="37">
        <f t="shared" si="70"/>
        <v>6</v>
      </c>
      <c r="H84" s="37">
        <f t="shared" si="70"/>
        <v>6</v>
      </c>
      <c r="I84" s="37">
        <f t="shared" si="70"/>
        <v>8</v>
      </c>
      <c r="J84" s="37">
        <f t="shared" si="70"/>
        <v>8</v>
      </c>
      <c r="K84" s="37">
        <f t="shared" si="70"/>
        <v>8</v>
      </c>
      <c r="L84" s="37">
        <f t="shared" si="70"/>
        <v>9</v>
      </c>
      <c r="M84" s="37">
        <f t="shared" si="70"/>
        <v>9</v>
      </c>
      <c r="N84" s="37">
        <f t="shared" si="70"/>
        <v>9</v>
      </c>
      <c r="O84" s="118">
        <f>O51</f>
        <v>9</v>
      </c>
      <c r="P84" s="131">
        <f aca="true" t="shared" si="71" ref="P84:AA84">P51</f>
        <v>9</v>
      </c>
      <c r="Q84" s="37">
        <f t="shared" si="71"/>
        <v>9</v>
      </c>
      <c r="R84" s="37">
        <f t="shared" si="71"/>
        <v>9</v>
      </c>
      <c r="S84" s="37">
        <f t="shared" si="71"/>
        <v>9</v>
      </c>
      <c r="T84" s="37">
        <f t="shared" si="71"/>
        <v>9</v>
      </c>
      <c r="U84" s="37">
        <f t="shared" si="71"/>
        <v>9</v>
      </c>
      <c r="V84" s="37">
        <f t="shared" si="71"/>
        <v>10</v>
      </c>
      <c r="W84" s="37">
        <f t="shared" si="71"/>
        <v>10</v>
      </c>
      <c r="X84" s="37">
        <f t="shared" si="71"/>
        <v>10</v>
      </c>
      <c r="Y84" s="37">
        <f t="shared" si="71"/>
        <v>11</v>
      </c>
      <c r="Z84" s="37">
        <f t="shared" si="71"/>
        <v>12</v>
      </c>
      <c r="AA84" s="128">
        <f t="shared" si="71"/>
        <v>12</v>
      </c>
      <c r="AB84" s="131">
        <f>AB51</f>
        <v>12</v>
      </c>
      <c r="AC84" s="37">
        <f>AC51</f>
        <v>14</v>
      </c>
      <c r="AD84" s="37">
        <f>AD51</f>
        <v>14</v>
      </c>
      <c r="AE84" s="37">
        <f>AE51</f>
        <v>14</v>
      </c>
    </row>
    <row r="85" spans="1:31" ht="12" thickBot="1">
      <c r="A85" s="31"/>
      <c r="B85" s="29" t="s">
        <v>19</v>
      </c>
      <c r="D85" s="34"/>
      <c r="E85" s="35">
        <f>E72</f>
        <v>0</v>
      </c>
      <c r="F85" s="35">
        <f aca="true" t="shared" si="72" ref="F85:N85">F72</f>
        <v>0</v>
      </c>
      <c r="G85" s="35">
        <f t="shared" si="72"/>
        <v>0</v>
      </c>
      <c r="H85" s="35">
        <f t="shared" si="72"/>
        <v>0</v>
      </c>
      <c r="I85" s="35">
        <f t="shared" si="72"/>
        <v>1</v>
      </c>
      <c r="J85" s="35">
        <f t="shared" si="72"/>
        <v>1</v>
      </c>
      <c r="K85" s="35">
        <f t="shared" si="72"/>
        <v>3</v>
      </c>
      <c r="L85" s="35">
        <f t="shared" si="72"/>
        <v>3</v>
      </c>
      <c r="M85" s="35">
        <f t="shared" si="72"/>
        <v>3</v>
      </c>
      <c r="N85" s="35">
        <f t="shared" si="72"/>
        <v>3</v>
      </c>
      <c r="O85" s="120">
        <f>O72</f>
        <v>3</v>
      </c>
      <c r="P85" s="116">
        <f aca="true" t="shared" si="73" ref="P85:AA85">P72</f>
        <v>4</v>
      </c>
      <c r="Q85" s="35">
        <f t="shared" si="73"/>
        <v>4</v>
      </c>
      <c r="R85" s="35">
        <f t="shared" si="73"/>
        <v>4</v>
      </c>
      <c r="S85" s="35">
        <f t="shared" si="73"/>
        <v>5</v>
      </c>
      <c r="T85" s="35">
        <f t="shared" si="73"/>
        <v>5</v>
      </c>
      <c r="U85" s="35">
        <f t="shared" si="73"/>
        <v>5</v>
      </c>
      <c r="V85" s="35">
        <f t="shared" si="73"/>
        <v>5</v>
      </c>
      <c r="W85" s="35">
        <f t="shared" si="73"/>
        <v>5</v>
      </c>
      <c r="X85" s="35">
        <f t="shared" si="73"/>
        <v>6</v>
      </c>
      <c r="Y85" s="35">
        <f t="shared" si="73"/>
        <v>6</v>
      </c>
      <c r="Z85" s="35">
        <f t="shared" si="73"/>
        <v>7</v>
      </c>
      <c r="AA85" s="137">
        <f t="shared" si="73"/>
        <v>7</v>
      </c>
      <c r="AB85" s="116">
        <f>AB72</f>
        <v>7</v>
      </c>
      <c r="AC85" s="35">
        <f>AC72</f>
        <v>10</v>
      </c>
      <c r="AD85" s="35">
        <f>AD72</f>
        <v>13</v>
      </c>
      <c r="AE85" s="35">
        <f>AE72</f>
        <v>17</v>
      </c>
    </row>
    <row r="86" spans="1:31" ht="11.25">
      <c r="A86" s="31"/>
      <c r="B86" s="29" t="s">
        <v>23</v>
      </c>
      <c r="D86" s="34"/>
      <c r="E86" s="37">
        <f>SUM(E82:E85)</f>
        <v>7</v>
      </c>
      <c r="F86" s="37">
        <f aca="true" t="shared" si="74" ref="F86:N86">SUM(F82:F85)</f>
        <v>8</v>
      </c>
      <c r="G86" s="37">
        <f t="shared" si="74"/>
        <v>10</v>
      </c>
      <c r="H86" s="37">
        <f t="shared" si="74"/>
        <v>10</v>
      </c>
      <c r="I86" s="37">
        <f t="shared" si="74"/>
        <v>13</v>
      </c>
      <c r="J86" s="37">
        <f t="shared" si="74"/>
        <v>13</v>
      </c>
      <c r="K86" s="37">
        <f t="shared" si="74"/>
        <v>15</v>
      </c>
      <c r="L86" s="37">
        <f t="shared" si="74"/>
        <v>17</v>
      </c>
      <c r="M86" s="37">
        <f t="shared" si="74"/>
        <v>18</v>
      </c>
      <c r="N86" s="37">
        <f t="shared" si="74"/>
        <v>19</v>
      </c>
      <c r="O86" s="37">
        <f>SUM(O82:O85)</f>
        <v>19</v>
      </c>
      <c r="P86" s="37">
        <f aca="true" t="shared" si="75" ref="P86:AA86">SUM(P82:P85)</f>
        <v>22</v>
      </c>
      <c r="Q86" s="37">
        <f t="shared" si="75"/>
        <v>22</v>
      </c>
      <c r="R86" s="37">
        <f t="shared" si="75"/>
        <v>22</v>
      </c>
      <c r="S86" s="37">
        <f t="shared" si="75"/>
        <v>23</v>
      </c>
      <c r="T86" s="37">
        <f t="shared" si="75"/>
        <v>23</v>
      </c>
      <c r="U86" s="37">
        <f t="shared" si="75"/>
        <v>23</v>
      </c>
      <c r="V86" s="37">
        <f t="shared" si="75"/>
        <v>26</v>
      </c>
      <c r="W86" s="37">
        <f t="shared" si="75"/>
        <v>26</v>
      </c>
      <c r="X86" s="37">
        <f t="shared" si="75"/>
        <v>29</v>
      </c>
      <c r="Y86" s="37">
        <f t="shared" si="75"/>
        <v>30</v>
      </c>
      <c r="Z86" s="37">
        <f t="shared" si="75"/>
        <v>32</v>
      </c>
      <c r="AA86" s="37">
        <f t="shared" si="75"/>
        <v>32</v>
      </c>
      <c r="AB86" s="131">
        <f>SUM(AB82:AB85)</f>
        <v>32</v>
      </c>
      <c r="AC86" s="37">
        <f>SUM(AC82:AC85)</f>
        <v>38</v>
      </c>
      <c r="AD86" s="37">
        <f>SUM(AD82:AD85)</f>
        <v>41</v>
      </c>
      <c r="AE86" s="37">
        <f>SUM(AE82:AE85)</f>
        <v>45</v>
      </c>
    </row>
    <row r="87" spans="1:31" ht="11.25">
      <c r="A87" s="31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ht="11.25">
      <c r="A88" s="31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ht="11.25">
      <c r="A89" s="31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ht="11.25">
      <c r="A90" s="31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4:31" ht="11.25"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4:31" ht="11.25"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2:31" ht="11.25">
      <c r="B93" s="31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2:31" ht="11.25">
      <c r="B94" s="31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4:31" ht="11.25"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4:31" ht="11.25"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4:31" ht="11.25"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4:31" ht="11.25"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</row>
    <row r="99" spans="4:31" ht="11.25"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</row>
    <row r="100" spans="4:31" ht="11.25"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</row>
    <row r="101" spans="1:31" ht="11.25">
      <c r="A101" s="31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</row>
    <row r="102" spans="4:31" ht="11.25"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3" spans="4:31" ht="11.25"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4" spans="4:31" ht="11.25"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pans="4:31" ht="11.25"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4:31" ht="11.25"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4:31" ht="11.25"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4:31" ht="11.25"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4:31" ht="11.25"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4:31" ht="11.25"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4:31" ht="11.25"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4:31" ht="11.25"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4:31" ht="11.25"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4:31" ht="11.25"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4:31" ht="11.25"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4:31" ht="11.25"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4:31" ht="11.25"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4:31" ht="11.25"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4:31" ht="11.25"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4:31" ht="11.25"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4:31" ht="11.25"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4:31" ht="11.25"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4:31" ht="11.25"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4:31" ht="11.25"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4:31" ht="11.25"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4:31" ht="11.25"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4:31" ht="11.25"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4:31" ht="11.25"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4:31" ht="11.25"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pans="4:31" ht="11.25"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pans="4:31" ht="11.25"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</row>
    <row r="132" spans="4:31" ht="11.25"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</row>
    <row r="133" spans="4:31" ht="11.25"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</row>
    <row r="134" spans="4:31" ht="11.25"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</row>
    <row r="135" spans="4:31" ht="11.25"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</row>
    <row r="136" spans="4:31" ht="11.25"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</row>
    <row r="137" spans="4:31" ht="11.25"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</row>
    <row r="138" spans="4:31" ht="11.25"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</row>
    <row r="139" spans="4:31" ht="11.25"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</row>
    <row r="140" spans="4:31" ht="11.25"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</row>
    <row r="141" spans="4:31" ht="11.25"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</row>
    <row r="142" spans="4:31" ht="11.25"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</row>
    <row r="143" spans="4:31" ht="11.25"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</row>
    <row r="144" spans="4:31" ht="11.25"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</row>
    <row r="145" spans="4:31" ht="11.25"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</row>
    <row r="146" spans="4:31" ht="11.25"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</row>
    <row r="147" spans="4:31" ht="11.25"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</row>
    <row r="148" spans="4:31" ht="11.25"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</row>
    <row r="149" spans="4:31" ht="11.25"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</row>
    <row r="150" spans="4:31" ht="11.25"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</row>
    <row r="151" spans="4:31" ht="11.25"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</row>
    <row r="152" spans="4:31" ht="11.25"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</row>
    <row r="153" spans="4:31" ht="11.25"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</row>
    <row r="154" spans="4:31" ht="11.25"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</row>
    <row r="155" spans="4:31" ht="11.25"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</row>
    <row r="156" spans="4:31" ht="11.25"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</row>
    <row r="157" spans="4:31" ht="11.25"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</row>
    <row r="158" spans="4:31" ht="11.25"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</row>
    <row r="159" spans="4:31" ht="11.25"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</row>
    <row r="160" spans="4:31" ht="11.25"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</row>
    <row r="161" spans="4:31" ht="11.25"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</row>
    <row r="162" spans="4:31" ht="11.25"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</row>
    <row r="163" spans="4:31" ht="11.25"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</row>
    <row r="164" spans="4:31" ht="11.25"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</row>
    <row r="165" spans="4:31" ht="11.25"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</row>
    <row r="166" spans="4:31" ht="11.25"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</row>
    <row r="167" spans="4:31" ht="11.25"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</row>
    <row r="168" spans="4:31" ht="11.25"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</row>
    <row r="169" spans="4:31" ht="11.25"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</row>
    <row r="170" spans="4:31" ht="11.25"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</row>
    <row r="171" spans="4:31" ht="11.25"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</row>
    <row r="172" spans="4:31" ht="11.25"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</row>
    <row r="173" spans="4:31" ht="11.25"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</row>
    <row r="174" spans="4:31" ht="11.25"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</row>
    <row r="175" spans="4:31" ht="11.25"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</row>
    <row r="176" spans="4:31" ht="11.25"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</row>
    <row r="177" spans="4:31" ht="11.25"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</row>
    <row r="178" spans="4:31" ht="11.25"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</row>
    <row r="179" spans="4:31" ht="11.25"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</row>
    <row r="180" spans="4:31" ht="11.25"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</row>
    <row r="181" spans="4:31" ht="11.25"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</row>
    <row r="182" spans="4:31" ht="11.25"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</row>
    <row r="183" spans="4:31" ht="11.25"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</row>
    <row r="184" spans="4:31" ht="11.25"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</row>
    <row r="185" spans="4:31" ht="11.25"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</row>
    <row r="186" spans="4:31" ht="11.25"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</row>
    <row r="187" spans="4:31" ht="11.25"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</row>
    <row r="188" spans="4:31" ht="11.25"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</row>
    <row r="189" spans="4:31" ht="11.25"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</row>
    <row r="190" spans="4:31" ht="11.25"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</row>
    <row r="191" spans="4:31" ht="11.25"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</row>
    <row r="192" spans="4:31" ht="11.25"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</row>
    <row r="193" spans="4:31" ht="11.25"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</row>
    <row r="194" spans="4:31" ht="11.25"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</row>
    <row r="195" spans="4:31" ht="11.25"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</row>
    <row r="196" spans="4:31" ht="11.25"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</row>
    <row r="197" spans="4:31" ht="11.25"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</row>
    <row r="198" spans="4:31" ht="11.25"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</row>
    <row r="199" spans="4:31" ht="11.25"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</row>
    <row r="200" spans="4:31" ht="11.25"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</row>
    <row r="201" spans="4:31" ht="11.25"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</row>
    <row r="202" spans="4:31" ht="11.25"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</row>
    <row r="203" spans="4:31" ht="11.25"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</row>
    <row r="204" spans="4:31" ht="11.25"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</row>
    <row r="205" spans="4:31" ht="11.25"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</row>
    <row r="206" spans="4:31" ht="11.25"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</row>
    <row r="207" spans="4:31" ht="11.25"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</row>
    <row r="208" spans="4:31" ht="11.25"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</row>
    <row r="209" spans="4:31" ht="11.25"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</row>
    <row r="210" spans="4:31" ht="11.25"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</row>
    <row r="211" spans="4:31" ht="11.25"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</row>
    <row r="212" spans="4:31" ht="11.25"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</row>
    <row r="213" spans="4:31" ht="11.25"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</row>
    <row r="214" spans="4:31" ht="11.25"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</row>
    <row r="215" spans="4:31" ht="11.25"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</row>
    <row r="216" spans="4:31" ht="11.25"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</row>
    <row r="217" spans="4:31" ht="11.25"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</row>
    <row r="218" spans="4:31" ht="11.25"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</row>
    <row r="219" spans="4:31" ht="11.25"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</row>
    <row r="220" spans="4:31" ht="11.25"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</row>
    <row r="221" spans="4:31" ht="11.25"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</row>
    <row r="222" spans="4:31" ht="11.25"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</row>
    <row r="223" spans="4:31" ht="11.25"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</row>
    <row r="224" spans="4:31" ht="11.25"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</row>
    <row r="225" spans="4:31" ht="11.25"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</row>
    <row r="226" spans="4:31" ht="11.25"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</row>
    <row r="227" spans="4:31" ht="11.25"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</row>
    <row r="228" spans="4:31" ht="11.25"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</row>
    <row r="229" spans="4:31" ht="11.25"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</row>
    <row r="230" spans="4:31" ht="11.25"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</row>
    <row r="231" spans="4:31" ht="11.25"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</row>
    <row r="232" spans="4:31" ht="11.25"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</row>
    <row r="233" spans="4:31" ht="11.25"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</row>
    <row r="234" spans="4:31" ht="11.25"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</row>
    <row r="235" spans="4:31" ht="11.25"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</row>
    <row r="236" spans="4:31" ht="11.25"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</row>
    <row r="237" spans="4:31" ht="11.25"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</row>
    <row r="238" spans="4:31" ht="11.25"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</row>
    <row r="239" spans="4:31" ht="11.25"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</row>
    <row r="240" spans="4:31" ht="11.25"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</row>
    <row r="241" spans="4:31" ht="11.25"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</row>
    <row r="242" spans="4:31" ht="11.25"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</row>
    <row r="243" spans="4:31" ht="11.25"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</row>
    <row r="244" spans="4:31" ht="11.25"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</row>
    <row r="245" spans="4:31" ht="11.25"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</row>
    <row r="246" spans="4:31" ht="11.25"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</row>
    <row r="247" spans="4:31" ht="11.25"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</row>
    <row r="248" spans="4:31" ht="11.25"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</row>
    <row r="249" spans="4:31" ht="11.25"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</row>
    <row r="250" spans="4:31" ht="11.25"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</row>
    <row r="251" spans="4:31" ht="11.25"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</row>
    <row r="252" spans="4:31" ht="11.25"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</row>
    <row r="253" spans="4:31" ht="11.25"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</row>
    <row r="254" spans="4:31" ht="11.25"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</row>
    <row r="255" spans="4:31" ht="11.25"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</row>
    <row r="256" spans="4:31" ht="11.25"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</row>
    <row r="257" spans="4:31" ht="11.25"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</row>
    <row r="258" spans="4:31" ht="11.25"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</row>
    <row r="259" spans="4:31" ht="11.25"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</row>
    <row r="260" spans="4:31" ht="11.25"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</row>
    <row r="261" spans="4:31" ht="11.25"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</row>
    <row r="262" spans="4:31" ht="11.25"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</row>
    <row r="263" spans="4:31" ht="11.25"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</row>
    <row r="264" spans="4:31" ht="11.25"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</row>
    <row r="265" spans="4:31" ht="11.25"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</row>
    <row r="266" spans="4:31" ht="11.25"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</row>
    <row r="267" spans="4:31" ht="11.25"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</row>
    <row r="268" spans="4:31" ht="11.25"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</row>
    <row r="269" spans="4:31" ht="11.25"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</row>
    <row r="270" spans="4:31" ht="11.25"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</row>
    <row r="271" spans="4:31" ht="11.25"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</row>
    <row r="272" spans="4:31" ht="11.25"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</row>
    <row r="273" spans="4:31" ht="11.25"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</row>
    <row r="274" spans="4:31" ht="11.25"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</row>
    <row r="275" spans="4:31" ht="11.25"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</row>
    <row r="276" spans="4:31" ht="11.25"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</row>
    <row r="277" spans="4:31" ht="11.25"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</row>
    <row r="278" spans="4:31" ht="11.25"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</row>
    <row r="279" spans="4:31" ht="11.25"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</row>
    <row r="280" spans="4:31" ht="11.25"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</row>
    <row r="281" spans="4:31" ht="11.25"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</row>
    <row r="282" spans="4:31" ht="11.25"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</row>
    <row r="283" spans="4:31" ht="11.25"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</row>
    <row r="284" spans="4:31" ht="11.25"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</row>
    <row r="285" spans="4:31" ht="11.25"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</row>
    <row r="286" spans="4:31" ht="11.25"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</row>
    <row r="287" spans="4:31" ht="11.25"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</row>
    <row r="288" spans="4:31" ht="11.25"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</row>
    <row r="289" spans="4:31" ht="11.25"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</row>
    <row r="290" spans="4:31" ht="11.25"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</row>
    <row r="291" spans="4:31" ht="11.25"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</row>
    <row r="292" spans="4:31" ht="11.25"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</row>
    <row r="293" spans="4:31" ht="11.25"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</row>
    <row r="294" spans="4:31" ht="11.25"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</row>
    <row r="295" spans="4:31" ht="11.25"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</row>
    <row r="296" spans="4:31" ht="11.25"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</row>
    <row r="297" spans="4:31" ht="11.25"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</row>
    <row r="298" spans="4:31" ht="11.25"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</row>
    <row r="299" spans="4:31" ht="11.25"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</row>
    <row r="300" spans="4:31" ht="11.25"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</row>
    <row r="301" spans="4:31" ht="11.25"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</row>
    <row r="302" spans="4:31" ht="11.25"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</row>
    <row r="303" spans="4:31" ht="11.25"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</row>
    <row r="304" spans="4:31" ht="11.25"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</row>
    <row r="305" spans="4:31" ht="11.25"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</row>
    <row r="306" spans="4:31" ht="11.25"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</row>
    <row r="307" spans="4:31" ht="11.25"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</row>
    <row r="308" spans="4:31" ht="11.25"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</row>
    <row r="309" spans="4:31" ht="11.25"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</row>
    <row r="310" spans="4:31" ht="11.25"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</row>
    <row r="311" spans="4:31" ht="11.25"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</row>
    <row r="312" spans="4:31" ht="11.25"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</row>
    <row r="313" spans="4:31" ht="11.25"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</row>
    <row r="314" spans="4:31" ht="11.25"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</row>
    <row r="315" spans="4:31" ht="11.25"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</row>
    <row r="316" spans="4:31" ht="11.25"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</row>
    <row r="317" spans="4:31" ht="11.25"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</row>
    <row r="318" spans="4:31" ht="11.25"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</row>
    <row r="319" spans="4:31" ht="11.25"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</row>
    <row r="320" spans="4:31" ht="11.25"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</row>
    <row r="321" spans="4:31" ht="11.25"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</row>
    <row r="322" spans="4:31" ht="11.25"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</row>
    <row r="323" spans="4:31" ht="11.25"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</row>
    <row r="324" spans="4:31" ht="11.25"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</row>
    <row r="325" spans="4:31" ht="11.25"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</row>
    <row r="326" spans="4:31" ht="11.25"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</row>
    <row r="327" spans="4:31" ht="11.25"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</row>
    <row r="328" spans="4:31" ht="11.25"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</row>
    <row r="329" spans="4:31" ht="11.25"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</row>
    <row r="330" spans="4:31" ht="11.25"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</row>
    <row r="331" spans="4:31" ht="11.25"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</row>
    <row r="332" spans="4:31" ht="11.25"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</row>
    <row r="333" spans="4:31" ht="11.25"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</row>
    <row r="334" spans="4:31" ht="11.25"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</row>
    <row r="335" spans="4:31" ht="11.25"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</row>
    <row r="336" spans="4:31" ht="11.25"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</row>
    <row r="337" spans="4:31" ht="11.25"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</row>
    <row r="338" spans="4:31" ht="11.25"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</row>
    <row r="339" spans="4:31" ht="11.25"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</row>
    <row r="340" spans="4:31" ht="11.25"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</row>
    <row r="341" spans="4:31" ht="11.25"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</row>
    <row r="342" spans="4:31" ht="11.25"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</row>
    <row r="343" spans="4:31" ht="11.25"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</row>
    <row r="344" spans="4:31" ht="11.25"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</row>
    <row r="345" spans="4:31" ht="11.25"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</row>
    <row r="346" spans="4:31" ht="11.25"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</row>
    <row r="347" spans="4:31" ht="11.25"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</row>
    <row r="348" spans="4:31" ht="11.25"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</row>
    <row r="349" spans="4:31" ht="11.25"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</row>
    <row r="350" spans="4:31" ht="11.25"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</row>
    <row r="351" spans="4:31" ht="11.25"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</row>
    <row r="352" spans="4:31" ht="11.25"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</row>
    <row r="353" spans="4:31" ht="11.25"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</row>
    <row r="354" spans="4:31" ht="11.25"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</row>
    <row r="355" spans="4:31" ht="11.25"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</row>
    <row r="356" spans="4:31" ht="11.25"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</row>
    <row r="357" spans="4:31" ht="11.25"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</row>
    <row r="358" spans="4:31" ht="11.25"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</row>
    <row r="359" spans="4:31" ht="11.25"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</row>
    <row r="360" spans="4:31" ht="11.25"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</row>
    <row r="361" spans="4:31" ht="11.25"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</row>
    <row r="362" spans="4:31" ht="11.25"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</row>
    <row r="363" spans="4:31" ht="11.25"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</row>
    <row r="364" spans="4:31" ht="11.25"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</row>
    <row r="365" spans="4:31" ht="11.25"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</row>
    <row r="366" spans="4:31" ht="11.25"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</row>
    <row r="367" spans="4:31" ht="11.25"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</row>
    <row r="368" spans="4:31" ht="11.25"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</row>
    <row r="369" spans="4:31" ht="11.25">
      <c r="D369" s="34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</row>
    <row r="370" spans="4:31" ht="11.25">
      <c r="D370" s="34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</row>
    <row r="371" spans="4:31" ht="11.25">
      <c r="D371" s="34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</row>
    <row r="372" spans="4:31" ht="11.25">
      <c r="D372" s="34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</row>
    <row r="373" spans="4:31" ht="11.25"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</row>
    <row r="374" spans="4:31" ht="11.25">
      <c r="D374" s="34"/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</row>
    <row r="375" spans="4:31" ht="11.25">
      <c r="D375" s="34"/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</row>
    <row r="376" spans="4:31" ht="11.25">
      <c r="D376" s="34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</row>
    <row r="377" spans="4:31" ht="11.25">
      <c r="D377" s="34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</row>
    <row r="378" spans="4:31" ht="11.25">
      <c r="D378" s="34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</row>
    <row r="379" spans="4:31" ht="11.25">
      <c r="D379" s="34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</row>
    <row r="380" spans="4:31" ht="11.25">
      <c r="D380" s="34"/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</row>
    <row r="381" spans="4:31" ht="11.25">
      <c r="D381" s="34"/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</row>
    <row r="382" spans="4:31" ht="11.25">
      <c r="D382" s="34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</row>
    <row r="383" spans="4:31" ht="11.25">
      <c r="D383" s="34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</row>
    <row r="384" spans="4:31" ht="11.25">
      <c r="D384" s="34"/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</row>
    <row r="385" spans="4:31" ht="11.25"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</row>
    <row r="386" spans="4:31" ht="11.25"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</row>
    <row r="387" spans="4:31" ht="11.25">
      <c r="D387" s="34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</row>
    <row r="388" spans="4:31" ht="11.25">
      <c r="D388" s="34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</row>
    <row r="389" spans="4:31" ht="11.25"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</row>
    <row r="390" spans="4:31" ht="11.25">
      <c r="D390" s="34"/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</row>
    <row r="391" spans="4:31" ht="11.25">
      <c r="D391" s="34"/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</row>
    <row r="392" spans="4:31" ht="11.25">
      <c r="D392" s="34"/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</row>
    <row r="393" spans="4:31" ht="11.25">
      <c r="D393" s="34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</row>
    <row r="394" spans="4:31" ht="11.25">
      <c r="D394" s="34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34"/>
    </row>
    <row r="395" spans="4:31" ht="11.25">
      <c r="D395" s="34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  <c r="AA395" s="34"/>
      <c r="AB395" s="34"/>
      <c r="AC395" s="34"/>
      <c r="AD395" s="34"/>
      <c r="AE395" s="34"/>
    </row>
    <row r="396" spans="4:31" ht="11.25">
      <c r="D396" s="34"/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</row>
    <row r="397" spans="4:31" ht="11.25">
      <c r="D397" s="34"/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</row>
    <row r="398" spans="4:31" ht="11.25">
      <c r="D398" s="34"/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  <c r="AA398" s="34"/>
      <c r="AB398" s="34"/>
      <c r="AC398" s="34"/>
      <c r="AD398" s="34"/>
      <c r="AE398" s="34"/>
    </row>
    <row r="399" spans="4:31" ht="11.25">
      <c r="D399" s="34"/>
      <c r="E399" s="34"/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  <c r="AA399" s="34"/>
      <c r="AB399" s="34"/>
      <c r="AC399" s="34"/>
      <c r="AD399" s="34"/>
      <c r="AE399" s="34"/>
    </row>
    <row r="400" spans="4:31" ht="11.25">
      <c r="D400" s="34"/>
      <c r="E400" s="34"/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  <c r="AA400" s="34"/>
      <c r="AB400" s="34"/>
      <c r="AC400" s="34"/>
      <c r="AD400" s="34"/>
      <c r="AE400" s="34"/>
    </row>
    <row r="401" spans="4:31" ht="11.25">
      <c r="D401" s="34"/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34"/>
    </row>
    <row r="402" spans="4:31" ht="11.25">
      <c r="D402" s="34"/>
      <c r="E402" s="34"/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  <c r="AA402" s="34"/>
      <c r="AB402" s="34"/>
      <c r="AC402" s="34"/>
      <c r="AD402" s="34"/>
      <c r="AE402" s="34"/>
    </row>
    <row r="403" spans="4:31" ht="11.25">
      <c r="D403" s="34"/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  <c r="AA403" s="34"/>
      <c r="AB403" s="34"/>
      <c r="AC403" s="34"/>
      <c r="AD403" s="34"/>
      <c r="AE403" s="34"/>
    </row>
    <row r="404" spans="4:31" ht="11.25">
      <c r="D404" s="34"/>
      <c r="E404" s="34"/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  <c r="AA404" s="34"/>
      <c r="AB404" s="34"/>
      <c r="AC404" s="34"/>
      <c r="AD404" s="34"/>
      <c r="AE404" s="34"/>
    </row>
    <row r="405" spans="4:31" ht="11.25">
      <c r="D405" s="34"/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  <c r="AA405" s="34"/>
      <c r="AB405" s="34"/>
      <c r="AC405" s="34"/>
      <c r="AD405" s="34"/>
      <c r="AE405" s="34"/>
    </row>
    <row r="406" spans="4:31" ht="11.25">
      <c r="D406" s="34"/>
      <c r="E406" s="34"/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  <c r="AA406" s="34"/>
      <c r="AB406" s="34"/>
      <c r="AC406" s="34"/>
      <c r="AD406" s="34"/>
      <c r="AE406" s="34"/>
    </row>
    <row r="407" spans="4:31" ht="11.25">
      <c r="D407" s="34"/>
      <c r="E407" s="34"/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  <c r="AA407" s="34"/>
      <c r="AB407" s="34"/>
      <c r="AC407" s="34"/>
      <c r="AD407" s="34"/>
      <c r="AE407" s="34"/>
    </row>
    <row r="408" spans="4:31" ht="11.25">
      <c r="D408" s="34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  <c r="AA408" s="34"/>
      <c r="AB408" s="34"/>
      <c r="AC408" s="34"/>
      <c r="AD408" s="34"/>
      <c r="AE408" s="34"/>
    </row>
    <row r="409" spans="4:31" ht="11.25">
      <c r="D409" s="34"/>
      <c r="E409" s="34"/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  <c r="AA409" s="34"/>
      <c r="AB409" s="34"/>
      <c r="AC409" s="34"/>
      <c r="AD409" s="34"/>
      <c r="AE409" s="34"/>
    </row>
    <row r="410" spans="4:31" ht="11.25"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  <c r="AA410" s="34"/>
      <c r="AB410" s="34"/>
      <c r="AC410" s="34"/>
      <c r="AD410" s="34"/>
      <c r="AE410" s="34"/>
    </row>
    <row r="411" spans="4:31" ht="11.25">
      <c r="D411" s="34"/>
      <c r="E411" s="34"/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  <c r="AA411" s="34"/>
      <c r="AB411" s="34"/>
      <c r="AC411" s="34"/>
      <c r="AD411" s="34"/>
      <c r="AE411" s="34"/>
    </row>
    <row r="412" spans="4:31" ht="11.25">
      <c r="D412" s="34"/>
      <c r="E412" s="34"/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  <c r="AA412" s="34"/>
      <c r="AB412" s="34"/>
      <c r="AC412" s="34"/>
      <c r="AD412" s="34"/>
      <c r="AE412" s="34"/>
    </row>
    <row r="413" spans="4:31" ht="11.25">
      <c r="D413" s="34"/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  <c r="AA413" s="34"/>
      <c r="AB413" s="34"/>
      <c r="AC413" s="34"/>
      <c r="AD413" s="34"/>
      <c r="AE413" s="34"/>
    </row>
    <row r="414" spans="4:31" ht="11.25">
      <c r="D414" s="34"/>
      <c r="E414" s="34"/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  <c r="AA414" s="34"/>
      <c r="AB414" s="34"/>
      <c r="AC414" s="34"/>
      <c r="AD414" s="34"/>
      <c r="AE414" s="34"/>
    </row>
    <row r="415" spans="4:31" ht="11.25">
      <c r="D415" s="34"/>
      <c r="E415" s="34"/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  <c r="AA415" s="34"/>
      <c r="AB415" s="34"/>
      <c r="AC415" s="34"/>
      <c r="AD415" s="34"/>
      <c r="AE415" s="34"/>
    </row>
    <row r="416" spans="4:31" ht="11.25">
      <c r="D416" s="34"/>
      <c r="E416" s="34"/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  <c r="AA416" s="34"/>
      <c r="AB416" s="34"/>
      <c r="AC416" s="34"/>
      <c r="AD416" s="34"/>
      <c r="AE416" s="34"/>
    </row>
    <row r="417" spans="4:31" ht="11.25">
      <c r="D417" s="34"/>
      <c r="E417" s="34"/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  <c r="AA417" s="34"/>
      <c r="AB417" s="34"/>
      <c r="AC417" s="34"/>
      <c r="AD417" s="34"/>
      <c r="AE417" s="34"/>
    </row>
    <row r="418" spans="4:31" ht="11.25">
      <c r="D418" s="34"/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  <c r="AA418" s="34"/>
      <c r="AB418" s="34"/>
      <c r="AC418" s="34"/>
      <c r="AD418" s="34"/>
      <c r="AE418" s="34"/>
    </row>
    <row r="419" spans="4:31" ht="11.25">
      <c r="D419" s="34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  <c r="AA419" s="34"/>
      <c r="AB419" s="34"/>
      <c r="AC419" s="34"/>
      <c r="AD419" s="34"/>
      <c r="AE419" s="34"/>
    </row>
    <row r="420" spans="4:31" ht="11.25">
      <c r="D420" s="34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  <c r="AA420" s="34"/>
      <c r="AB420" s="34"/>
      <c r="AC420" s="34"/>
      <c r="AD420" s="34"/>
      <c r="AE420" s="34"/>
    </row>
    <row r="421" spans="4:31" ht="11.25">
      <c r="D421" s="34"/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  <c r="AA421" s="34"/>
      <c r="AB421" s="34"/>
      <c r="AC421" s="34"/>
      <c r="AD421" s="34"/>
      <c r="AE421" s="34"/>
    </row>
    <row r="422" spans="4:31" ht="11.25">
      <c r="D422" s="34"/>
      <c r="E422" s="34"/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  <c r="AA422" s="34"/>
      <c r="AB422" s="34"/>
      <c r="AC422" s="34"/>
      <c r="AD422" s="34"/>
      <c r="AE422" s="34"/>
    </row>
    <row r="423" spans="4:31" ht="11.25">
      <c r="D423" s="34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  <c r="AA423" s="34"/>
      <c r="AB423" s="34"/>
      <c r="AC423" s="34"/>
      <c r="AD423" s="34"/>
      <c r="AE423" s="34"/>
    </row>
    <row r="424" spans="4:31" ht="11.25">
      <c r="D424" s="34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  <c r="AA424" s="34"/>
      <c r="AB424" s="34"/>
      <c r="AC424" s="34"/>
      <c r="AD424" s="34"/>
      <c r="AE424" s="34"/>
    </row>
    <row r="425" spans="4:31" ht="11.25"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  <c r="AA425" s="34"/>
      <c r="AB425" s="34"/>
      <c r="AC425" s="34"/>
      <c r="AD425" s="34"/>
      <c r="AE425" s="34"/>
    </row>
    <row r="426" spans="4:31" ht="11.25"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  <c r="AA426" s="34"/>
      <c r="AB426" s="34"/>
      <c r="AC426" s="34"/>
      <c r="AD426" s="34"/>
      <c r="AE426" s="34"/>
    </row>
    <row r="427" spans="4:31" ht="11.25"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  <c r="AA427" s="34"/>
      <c r="AB427" s="34"/>
      <c r="AC427" s="34"/>
      <c r="AD427" s="34"/>
      <c r="AE427" s="34"/>
    </row>
    <row r="428" spans="4:31" ht="11.25"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  <c r="AA428" s="34"/>
      <c r="AB428" s="34"/>
      <c r="AC428" s="34"/>
      <c r="AD428" s="34"/>
      <c r="AE428" s="34"/>
    </row>
    <row r="429" spans="4:31" ht="11.25"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  <c r="AA429" s="34"/>
      <c r="AB429" s="34"/>
      <c r="AC429" s="34"/>
      <c r="AD429" s="34"/>
      <c r="AE429" s="34"/>
    </row>
    <row r="430" spans="4:31" ht="11.25"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  <c r="AA430" s="34"/>
      <c r="AB430" s="34"/>
      <c r="AC430" s="34"/>
      <c r="AD430" s="34"/>
      <c r="AE430" s="34"/>
    </row>
    <row r="431" spans="4:31" ht="11.25">
      <c r="D431" s="34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  <c r="AA431" s="34"/>
      <c r="AB431" s="34"/>
      <c r="AC431" s="34"/>
      <c r="AD431" s="34"/>
      <c r="AE431" s="34"/>
    </row>
    <row r="432" spans="4:31" ht="11.25">
      <c r="D432" s="34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  <c r="AA432" s="34"/>
      <c r="AB432" s="34"/>
      <c r="AC432" s="34"/>
      <c r="AD432" s="34"/>
      <c r="AE432" s="34"/>
    </row>
    <row r="433" spans="4:31" ht="11.25">
      <c r="D433" s="34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  <c r="AA433" s="34"/>
      <c r="AB433" s="34"/>
      <c r="AC433" s="34"/>
      <c r="AD433" s="34"/>
      <c r="AE433" s="34"/>
    </row>
    <row r="434" spans="4:31" ht="11.25">
      <c r="D434" s="34"/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  <c r="AA434" s="34"/>
      <c r="AB434" s="34"/>
      <c r="AC434" s="34"/>
      <c r="AD434" s="34"/>
      <c r="AE434" s="34"/>
    </row>
    <row r="435" spans="4:31" ht="11.25"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34"/>
      <c r="AA435" s="34"/>
      <c r="AB435" s="34"/>
      <c r="AC435" s="34"/>
      <c r="AD435" s="34"/>
      <c r="AE435" s="34"/>
    </row>
    <row r="436" spans="4:31" ht="11.25"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  <c r="AA436" s="34"/>
      <c r="AB436" s="34"/>
      <c r="AC436" s="34"/>
      <c r="AD436" s="34"/>
      <c r="AE436" s="34"/>
    </row>
    <row r="437" spans="4:31" ht="11.25"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  <c r="AA437" s="34"/>
      <c r="AB437" s="34"/>
      <c r="AC437" s="34"/>
      <c r="AD437" s="34"/>
      <c r="AE437" s="34"/>
    </row>
    <row r="438" spans="4:31" ht="11.25">
      <c r="D438" s="34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  <c r="AA438" s="34"/>
      <c r="AB438" s="34"/>
      <c r="AC438" s="34"/>
      <c r="AD438" s="34"/>
      <c r="AE438" s="34"/>
    </row>
    <row r="439" spans="4:31" ht="11.25">
      <c r="D439" s="34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  <c r="AA439" s="34"/>
      <c r="AB439" s="34"/>
      <c r="AC439" s="34"/>
      <c r="AD439" s="34"/>
      <c r="AE439" s="34"/>
    </row>
    <row r="440" spans="4:31" ht="11.25">
      <c r="D440" s="34"/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  <c r="AA440" s="34"/>
      <c r="AB440" s="34"/>
      <c r="AC440" s="34"/>
      <c r="AD440" s="34"/>
      <c r="AE440" s="34"/>
    </row>
    <row r="441" spans="4:31" ht="11.25">
      <c r="D441" s="34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  <c r="AA441" s="34"/>
      <c r="AB441" s="34"/>
      <c r="AC441" s="34"/>
      <c r="AD441" s="34"/>
      <c r="AE441" s="34"/>
    </row>
    <row r="442" spans="4:31" ht="11.25">
      <c r="D442" s="34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  <c r="AA442" s="34"/>
      <c r="AB442" s="34"/>
      <c r="AC442" s="34"/>
      <c r="AD442" s="34"/>
      <c r="AE442" s="34"/>
    </row>
    <row r="443" spans="4:31" ht="11.25">
      <c r="D443" s="34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  <c r="AA443" s="34"/>
      <c r="AB443" s="34"/>
      <c r="AC443" s="34"/>
      <c r="AD443" s="34"/>
      <c r="AE443" s="34"/>
    </row>
    <row r="444" spans="4:31" ht="11.25">
      <c r="D444" s="34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  <c r="AA444" s="34"/>
      <c r="AB444" s="34"/>
      <c r="AC444" s="34"/>
      <c r="AD444" s="34"/>
      <c r="AE444" s="34"/>
    </row>
    <row r="445" spans="4:31" ht="11.25">
      <c r="D445" s="34"/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  <c r="AA445" s="34"/>
      <c r="AB445" s="34"/>
      <c r="AC445" s="34"/>
      <c r="AD445" s="34"/>
      <c r="AE445" s="34"/>
    </row>
    <row r="446" spans="4:31" ht="11.25">
      <c r="D446" s="34"/>
      <c r="E446" s="34"/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  <c r="AA446" s="34"/>
      <c r="AB446" s="34"/>
      <c r="AC446" s="34"/>
      <c r="AD446" s="34"/>
      <c r="AE446" s="34"/>
    </row>
    <row r="447" spans="4:31" ht="11.25">
      <c r="D447" s="34"/>
      <c r="E447" s="34"/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  <c r="AA447" s="34"/>
      <c r="AB447" s="34"/>
      <c r="AC447" s="34"/>
      <c r="AD447" s="34"/>
      <c r="AE447" s="34"/>
    </row>
    <row r="448" spans="4:31" ht="11.25">
      <c r="D448" s="34"/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  <c r="AA448" s="34"/>
      <c r="AB448" s="34"/>
      <c r="AC448" s="34"/>
      <c r="AD448" s="34"/>
      <c r="AE448" s="34"/>
    </row>
    <row r="449" spans="4:31" ht="11.25">
      <c r="D449" s="34"/>
      <c r="E449" s="34"/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  <c r="Z449" s="34"/>
      <c r="AA449" s="34"/>
      <c r="AB449" s="34"/>
      <c r="AC449" s="34"/>
      <c r="AD449" s="34"/>
      <c r="AE449" s="34"/>
    </row>
    <row r="450" spans="4:31" ht="11.25">
      <c r="D450" s="34"/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  <c r="AA450" s="34"/>
      <c r="AB450" s="34"/>
      <c r="AC450" s="34"/>
      <c r="AD450" s="34"/>
      <c r="AE450" s="34"/>
    </row>
    <row r="451" spans="4:31" ht="11.25">
      <c r="D451" s="34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  <c r="AA451" s="34"/>
      <c r="AB451" s="34"/>
      <c r="AC451" s="34"/>
      <c r="AD451" s="34"/>
      <c r="AE451" s="34"/>
    </row>
    <row r="452" spans="4:31" ht="11.25">
      <c r="D452" s="34"/>
      <c r="E452" s="34"/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  <c r="AA452" s="34"/>
      <c r="AB452" s="34"/>
      <c r="AC452" s="34"/>
      <c r="AD452" s="34"/>
      <c r="AE452" s="34"/>
    </row>
    <row r="453" spans="4:31" ht="11.25">
      <c r="D453" s="34"/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  <c r="AA453" s="34"/>
      <c r="AB453" s="34"/>
      <c r="AC453" s="34"/>
      <c r="AD453" s="34"/>
      <c r="AE453" s="34"/>
    </row>
    <row r="454" spans="4:31" ht="11.25">
      <c r="D454" s="34"/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  <c r="AA454" s="34"/>
      <c r="AB454" s="34"/>
      <c r="AC454" s="34"/>
      <c r="AD454" s="34"/>
      <c r="AE454" s="34"/>
    </row>
    <row r="455" spans="4:31" ht="11.25">
      <c r="D455" s="34"/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  <c r="AA455" s="34"/>
      <c r="AB455" s="34"/>
      <c r="AC455" s="34"/>
      <c r="AD455" s="34"/>
      <c r="AE455" s="34"/>
    </row>
    <row r="456" spans="4:31" ht="11.25">
      <c r="D456" s="34"/>
      <c r="E456" s="34"/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  <c r="AA456" s="34"/>
      <c r="AB456" s="34"/>
      <c r="AC456" s="34"/>
      <c r="AD456" s="34"/>
      <c r="AE456" s="34"/>
    </row>
    <row r="457" spans="4:31" ht="11.25">
      <c r="D457" s="34"/>
      <c r="E457" s="34"/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  <c r="AA457" s="34"/>
      <c r="AB457" s="34"/>
      <c r="AC457" s="34"/>
      <c r="AD457" s="34"/>
      <c r="AE457" s="34"/>
    </row>
    <row r="458" spans="4:31" ht="11.25">
      <c r="D458" s="34"/>
      <c r="E458" s="34"/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  <c r="AA458" s="34"/>
      <c r="AB458" s="34"/>
      <c r="AC458" s="34"/>
      <c r="AD458" s="34"/>
      <c r="AE458" s="34"/>
    </row>
    <row r="459" spans="4:31" ht="11.25">
      <c r="D459" s="34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  <c r="AA459" s="34"/>
      <c r="AB459" s="34"/>
      <c r="AC459" s="34"/>
      <c r="AD459" s="34"/>
      <c r="AE459" s="34"/>
    </row>
    <row r="460" spans="4:31" ht="11.25">
      <c r="D460" s="34"/>
      <c r="E460" s="34"/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  <c r="Z460" s="34"/>
      <c r="AA460" s="34"/>
      <c r="AB460" s="34"/>
      <c r="AC460" s="34"/>
      <c r="AD460" s="34"/>
      <c r="AE460" s="34"/>
    </row>
    <row r="461" spans="4:31" ht="11.25">
      <c r="D461" s="34"/>
      <c r="E461" s="34"/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34"/>
      <c r="AA461" s="34"/>
      <c r="AB461" s="34"/>
      <c r="AC461" s="34"/>
      <c r="AD461" s="34"/>
      <c r="AE461" s="34"/>
    </row>
    <row r="462" spans="4:31" ht="11.25">
      <c r="D462" s="34"/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  <c r="AA462" s="34"/>
      <c r="AB462" s="34"/>
      <c r="AC462" s="34"/>
      <c r="AD462" s="34"/>
      <c r="AE462" s="34"/>
    </row>
    <row r="463" spans="4:31" ht="11.25">
      <c r="D463" s="34"/>
      <c r="E463" s="34"/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  <c r="Z463" s="34"/>
      <c r="AA463" s="34"/>
      <c r="AB463" s="34"/>
      <c r="AC463" s="34"/>
      <c r="AD463" s="34"/>
      <c r="AE463" s="34"/>
    </row>
    <row r="464" spans="4:31" ht="11.25">
      <c r="D464" s="34"/>
      <c r="E464" s="34"/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  <c r="Z464" s="34"/>
      <c r="AA464" s="34"/>
      <c r="AB464" s="34"/>
      <c r="AC464" s="34"/>
      <c r="AD464" s="34"/>
      <c r="AE464" s="34"/>
    </row>
    <row r="465" spans="4:31" ht="11.25">
      <c r="D465" s="34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  <c r="AA465" s="34"/>
      <c r="AB465" s="34"/>
      <c r="AC465" s="34"/>
      <c r="AD465" s="34"/>
      <c r="AE465" s="34"/>
    </row>
    <row r="466" spans="4:31" ht="11.25">
      <c r="D466" s="34"/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  <c r="Z466" s="34"/>
      <c r="AA466" s="34"/>
      <c r="AB466" s="34"/>
      <c r="AC466" s="34"/>
      <c r="AD466" s="34"/>
      <c r="AE466" s="34"/>
    </row>
    <row r="467" spans="4:31" ht="11.25">
      <c r="D467" s="34"/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  <c r="AA467" s="34"/>
      <c r="AB467" s="34"/>
      <c r="AC467" s="34"/>
      <c r="AD467" s="34"/>
      <c r="AE467" s="34"/>
    </row>
    <row r="468" spans="4:31" ht="11.25">
      <c r="D468" s="34"/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  <c r="AA468" s="34"/>
      <c r="AB468" s="34"/>
      <c r="AC468" s="34"/>
      <c r="AD468" s="34"/>
      <c r="AE468" s="34"/>
    </row>
    <row r="469" spans="4:31" ht="11.25">
      <c r="D469" s="34"/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  <c r="AA469" s="34"/>
      <c r="AB469" s="34"/>
      <c r="AC469" s="34"/>
      <c r="AD469" s="34"/>
      <c r="AE469" s="34"/>
    </row>
    <row r="470" spans="4:31" ht="11.25">
      <c r="D470" s="34"/>
      <c r="E470" s="34"/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  <c r="Z470" s="34"/>
      <c r="AA470" s="34"/>
      <c r="AB470" s="34"/>
      <c r="AC470" s="34"/>
      <c r="AD470" s="34"/>
      <c r="AE470" s="34"/>
    </row>
    <row r="471" spans="4:31" ht="11.25">
      <c r="D471" s="34"/>
      <c r="E471" s="34"/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  <c r="Z471" s="34"/>
      <c r="AA471" s="34"/>
      <c r="AB471" s="34"/>
      <c r="AC471" s="34"/>
      <c r="AD471" s="34"/>
      <c r="AE471" s="34"/>
    </row>
    <row r="472" spans="4:31" ht="11.25">
      <c r="D472" s="34"/>
      <c r="E472" s="34"/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  <c r="Z472" s="34"/>
      <c r="AA472" s="34"/>
      <c r="AB472" s="34"/>
      <c r="AC472" s="34"/>
      <c r="AD472" s="34"/>
      <c r="AE472" s="34"/>
    </row>
    <row r="473" spans="4:31" ht="11.25">
      <c r="D473" s="34"/>
      <c r="E473" s="34"/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  <c r="Z473" s="34"/>
      <c r="AA473" s="34"/>
      <c r="AB473" s="34"/>
      <c r="AC473" s="34"/>
      <c r="AD473" s="34"/>
      <c r="AE473" s="34"/>
    </row>
    <row r="474" spans="4:31" ht="11.25">
      <c r="D474" s="34"/>
      <c r="E474" s="34"/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  <c r="Z474" s="34"/>
      <c r="AA474" s="34"/>
      <c r="AB474" s="34"/>
      <c r="AC474" s="34"/>
      <c r="AD474" s="34"/>
      <c r="AE474" s="34"/>
    </row>
    <row r="475" spans="4:31" ht="11.25">
      <c r="D475" s="34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34"/>
      <c r="AA475" s="34"/>
      <c r="AB475" s="34"/>
      <c r="AC475" s="34"/>
      <c r="AD475" s="34"/>
      <c r="AE475" s="34"/>
    </row>
    <row r="476" spans="4:31" ht="11.25">
      <c r="D476" s="34"/>
      <c r="E476" s="34"/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  <c r="AA476" s="34"/>
      <c r="AB476" s="34"/>
      <c r="AC476" s="34"/>
      <c r="AD476" s="34"/>
      <c r="AE476" s="34"/>
    </row>
    <row r="477" spans="4:31" ht="11.25">
      <c r="D477" s="34"/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  <c r="AA477" s="34"/>
      <c r="AB477" s="34"/>
      <c r="AC477" s="34"/>
      <c r="AD477" s="34"/>
      <c r="AE477" s="34"/>
    </row>
    <row r="478" spans="4:31" ht="11.25">
      <c r="D478" s="34"/>
      <c r="E478" s="34"/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  <c r="Z478" s="34"/>
      <c r="AA478" s="34"/>
      <c r="AB478" s="34"/>
      <c r="AC478" s="34"/>
      <c r="AD478" s="34"/>
      <c r="AE478" s="34"/>
    </row>
    <row r="479" spans="4:31" ht="11.25">
      <c r="D479" s="34"/>
      <c r="E479" s="34"/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  <c r="Z479" s="34"/>
      <c r="AA479" s="34"/>
      <c r="AB479" s="34"/>
      <c r="AC479" s="34"/>
      <c r="AD479" s="34"/>
      <c r="AE479" s="34"/>
    </row>
    <row r="480" spans="4:31" ht="11.25">
      <c r="D480" s="34"/>
      <c r="E480" s="34"/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  <c r="Z480" s="34"/>
      <c r="AA480" s="34"/>
      <c r="AB480" s="34"/>
      <c r="AC480" s="34"/>
      <c r="AD480" s="34"/>
      <c r="AE480" s="34"/>
    </row>
    <row r="481" spans="4:31" ht="11.25">
      <c r="D481" s="34"/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4"/>
      <c r="X481" s="34"/>
      <c r="Y481" s="34"/>
      <c r="Z481" s="34"/>
      <c r="AA481" s="34"/>
      <c r="AB481" s="34"/>
      <c r="AC481" s="34"/>
      <c r="AD481" s="34"/>
      <c r="AE481" s="34"/>
    </row>
    <row r="482" spans="4:31" ht="11.25">
      <c r="D482" s="34"/>
      <c r="E482" s="34"/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  <c r="Z482" s="34"/>
      <c r="AA482" s="34"/>
      <c r="AB482" s="34"/>
      <c r="AC482" s="34"/>
      <c r="AD482" s="34"/>
      <c r="AE482" s="34"/>
    </row>
    <row r="483" spans="4:31" ht="11.25">
      <c r="D483" s="34"/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  <c r="Z483" s="34"/>
      <c r="AA483" s="34"/>
      <c r="AB483" s="34"/>
      <c r="AC483" s="34"/>
      <c r="AD483" s="34"/>
      <c r="AE483" s="34"/>
    </row>
    <row r="484" spans="4:31" ht="11.25">
      <c r="D484" s="34"/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  <c r="Z484" s="34"/>
      <c r="AA484" s="34"/>
      <c r="AB484" s="34"/>
      <c r="AC484" s="34"/>
      <c r="AD484" s="34"/>
      <c r="AE484" s="34"/>
    </row>
    <row r="485" spans="4:31" ht="11.25">
      <c r="D485" s="34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  <c r="AA485" s="34"/>
      <c r="AB485" s="34"/>
      <c r="AC485" s="34"/>
      <c r="AD485" s="34"/>
      <c r="AE485" s="34"/>
    </row>
    <row r="486" spans="4:31" ht="11.25">
      <c r="D486" s="34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  <c r="AA486" s="34"/>
      <c r="AB486" s="34"/>
      <c r="AC486" s="34"/>
      <c r="AD486" s="34"/>
      <c r="AE486" s="34"/>
    </row>
    <row r="487" spans="4:31" ht="11.25">
      <c r="D487" s="34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  <c r="AA487" s="34"/>
      <c r="AB487" s="34"/>
      <c r="AC487" s="34"/>
      <c r="AD487" s="34"/>
      <c r="AE487" s="34"/>
    </row>
    <row r="488" spans="4:31" ht="11.25">
      <c r="D488" s="34"/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  <c r="Z488" s="34"/>
      <c r="AA488" s="34"/>
      <c r="AB488" s="34"/>
      <c r="AC488" s="34"/>
      <c r="AD488" s="34"/>
      <c r="AE488" s="34"/>
    </row>
    <row r="489" spans="4:31" ht="11.25">
      <c r="D489" s="34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  <c r="AA489" s="34"/>
      <c r="AB489" s="34"/>
      <c r="AC489" s="34"/>
      <c r="AD489" s="34"/>
      <c r="AE489" s="34"/>
    </row>
    <row r="490" spans="4:31" ht="11.25">
      <c r="D490" s="34"/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  <c r="Z490" s="34"/>
      <c r="AA490" s="34"/>
      <c r="AB490" s="34"/>
      <c r="AC490" s="34"/>
      <c r="AD490" s="34"/>
      <c r="AE490" s="34"/>
    </row>
    <row r="491" spans="4:31" ht="11.25">
      <c r="D491" s="34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  <c r="AA491" s="34"/>
      <c r="AB491" s="34"/>
      <c r="AC491" s="34"/>
      <c r="AD491" s="34"/>
      <c r="AE491" s="34"/>
    </row>
    <row r="492" spans="4:31" ht="11.25">
      <c r="D492" s="34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  <c r="AA492" s="34"/>
      <c r="AB492" s="34"/>
      <c r="AC492" s="34"/>
      <c r="AD492" s="34"/>
      <c r="AE492" s="34"/>
    </row>
    <row r="493" spans="4:31" ht="11.25">
      <c r="D493" s="34"/>
      <c r="E493" s="34"/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  <c r="AA493" s="34"/>
      <c r="AB493" s="34"/>
      <c r="AC493" s="34"/>
      <c r="AD493" s="34"/>
      <c r="AE493" s="34"/>
    </row>
    <row r="494" spans="4:31" ht="11.25">
      <c r="D494" s="34"/>
      <c r="E494" s="34"/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  <c r="Z494" s="34"/>
      <c r="AA494" s="34"/>
      <c r="AB494" s="34"/>
      <c r="AC494" s="34"/>
      <c r="AD494" s="34"/>
      <c r="AE494" s="34"/>
    </row>
    <row r="495" spans="4:31" ht="11.25">
      <c r="D495" s="34"/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  <c r="Z495" s="34"/>
      <c r="AA495" s="34"/>
      <c r="AB495" s="34"/>
      <c r="AC495" s="34"/>
      <c r="AD495" s="34"/>
      <c r="AE495" s="34"/>
    </row>
    <row r="496" spans="4:31" ht="11.25">
      <c r="D496" s="34"/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  <c r="Z496" s="34"/>
      <c r="AA496" s="34"/>
      <c r="AB496" s="34"/>
      <c r="AC496" s="34"/>
      <c r="AD496" s="34"/>
      <c r="AE496" s="34"/>
    </row>
    <row r="497" spans="4:31" ht="11.25">
      <c r="D497" s="34"/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  <c r="Z497" s="34"/>
      <c r="AA497" s="34"/>
      <c r="AB497" s="34"/>
      <c r="AC497" s="34"/>
      <c r="AD497" s="34"/>
      <c r="AE497" s="34"/>
    </row>
    <row r="498" spans="4:31" ht="11.25">
      <c r="D498" s="34"/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  <c r="Z498" s="34"/>
      <c r="AA498" s="34"/>
      <c r="AB498" s="34"/>
      <c r="AC498" s="34"/>
      <c r="AD498" s="34"/>
      <c r="AE498" s="34"/>
    </row>
    <row r="499" spans="4:31" ht="11.25">
      <c r="D499" s="34"/>
      <c r="E499" s="34"/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  <c r="Z499" s="34"/>
      <c r="AA499" s="34"/>
      <c r="AB499" s="34"/>
      <c r="AC499" s="34"/>
      <c r="AD499" s="34"/>
      <c r="AE499" s="34"/>
    </row>
    <row r="500" spans="4:31" ht="11.25">
      <c r="D500" s="34"/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4"/>
      <c r="Z500" s="34"/>
      <c r="AA500" s="34"/>
      <c r="AB500" s="34"/>
      <c r="AC500" s="34"/>
      <c r="AD500" s="34"/>
      <c r="AE500" s="34"/>
    </row>
    <row r="501" spans="4:31" ht="11.25">
      <c r="D501" s="34"/>
      <c r="E501" s="34"/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  <c r="Z501" s="34"/>
      <c r="AA501" s="34"/>
      <c r="AB501" s="34"/>
      <c r="AC501" s="34"/>
      <c r="AD501" s="34"/>
      <c r="AE501" s="34"/>
    </row>
    <row r="502" spans="4:31" ht="11.25">
      <c r="D502" s="34"/>
      <c r="E502" s="34"/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/>
      <c r="AA502" s="34"/>
      <c r="AB502" s="34"/>
      <c r="AC502" s="34"/>
      <c r="AD502" s="34"/>
      <c r="AE502" s="34"/>
    </row>
    <row r="503" spans="4:31" ht="11.25">
      <c r="D503" s="34"/>
      <c r="E503" s="34"/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  <c r="Z503" s="34"/>
      <c r="AA503" s="34"/>
      <c r="AB503" s="34"/>
      <c r="AC503" s="34"/>
      <c r="AD503" s="34"/>
      <c r="AE503" s="34"/>
    </row>
    <row r="504" spans="4:31" ht="11.25">
      <c r="D504" s="34"/>
      <c r="E504" s="34"/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  <c r="Z504" s="34"/>
      <c r="AA504" s="34"/>
      <c r="AB504" s="34"/>
      <c r="AC504" s="34"/>
      <c r="AD504" s="34"/>
      <c r="AE504" s="34"/>
    </row>
    <row r="505" spans="4:31" ht="11.25">
      <c r="D505" s="34"/>
      <c r="E505" s="34"/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  <c r="Z505" s="34"/>
      <c r="AA505" s="34"/>
      <c r="AB505" s="34"/>
      <c r="AC505" s="34"/>
      <c r="AD505" s="34"/>
      <c r="AE505" s="34"/>
    </row>
    <row r="506" spans="4:31" ht="11.25">
      <c r="D506" s="34"/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4"/>
      <c r="Z506" s="34"/>
      <c r="AA506" s="34"/>
      <c r="AB506" s="34"/>
      <c r="AC506" s="34"/>
      <c r="AD506" s="34"/>
      <c r="AE506" s="34"/>
    </row>
    <row r="507" spans="4:31" ht="11.25">
      <c r="D507" s="34"/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/>
      <c r="X507" s="34"/>
      <c r="Y507" s="34"/>
      <c r="Z507" s="34"/>
      <c r="AA507" s="34"/>
      <c r="AB507" s="34"/>
      <c r="AC507" s="34"/>
      <c r="AD507" s="34"/>
      <c r="AE507" s="34"/>
    </row>
    <row r="508" spans="4:31" ht="11.25">
      <c r="D508" s="34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4"/>
      <c r="X508" s="34"/>
      <c r="Y508" s="34"/>
      <c r="Z508" s="34"/>
      <c r="AA508" s="34"/>
      <c r="AB508" s="34"/>
      <c r="AC508" s="34"/>
      <c r="AD508" s="34"/>
      <c r="AE508" s="34"/>
    </row>
    <row r="509" spans="4:31" ht="11.25">
      <c r="D509" s="34"/>
      <c r="E509" s="34"/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34"/>
      <c r="X509" s="34"/>
      <c r="Y509" s="34"/>
      <c r="Z509" s="34"/>
      <c r="AA509" s="34"/>
      <c r="AB509" s="34"/>
      <c r="AC509" s="34"/>
      <c r="AD509" s="34"/>
      <c r="AE509" s="34"/>
    </row>
    <row r="510" spans="4:31" ht="11.25">
      <c r="D510" s="34"/>
      <c r="E510" s="34"/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  <c r="Z510" s="34"/>
      <c r="AA510" s="34"/>
      <c r="AB510" s="34"/>
      <c r="AC510" s="34"/>
      <c r="AD510" s="34"/>
      <c r="AE510" s="34"/>
    </row>
    <row r="511" spans="4:31" ht="11.25">
      <c r="D511" s="34"/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34"/>
      <c r="X511" s="34"/>
      <c r="Y511" s="34"/>
      <c r="Z511" s="34"/>
      <c r="AA511" s="34"/>
      <c r="AB511" s="34"/>
      <c r="AC511" s="34"/>
      <c r="AD511" s="34"/>
      <c r="AE511" s="34"/>
    </row>
    <row r="512" spans="4:31" ht="11.25">
      <c r="D512" s="34"/>
      <c r="E512" s="34"/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  <c r="Z512" s="34"/>
      <c r="AA512" s="34"/>
      <c r="AB512" s="34"/>
      <c r="AC512" s="34"/>
      <c r="AD512" s="34"/>
      <c r="AE512" s="34"/>
    </row>
    <row r="513" spans="4:31" ht="11.25">
      <c r="D513" s="34"/>
      <c r="E513" s="34"/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/>
      <c r="X513" s="34"/>
      <c r="Y513" s="34"/>
      <c r="Z513" s="34"/>
      <c r="AA513" s="34"/>
      <c r="AB513" s="34"/>
      <c r="AC513" s="34"/>
      <c r="AD513" s="34"/>
      <c r="AE513" s="34"/>
    </row>
    <row r="514" spans="4:31" ht="11.25">
      <c r="D514" s="34"/>
      <c r="E514" s="34"/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  <c r="W514" s="34"/>
      <c r="X514" s="34"/>
      <c r="Y514" s="34"/>
      <c r="Z514" s="34"/>
      <c r="AA514" s="34"/>
      <c r="AB514" s="34"/>
      <c r="AC514" s="34"/>
      <c r="AD514" s="34"/>
      <c r="AE514" s="34"/>
    </row>
    <row r="515" spans="4:31" ht="11.25">
      <c r="D515" s="34"/>
      <c r="E515" s="34"/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  <c r="W515" s="34"/>
      <c r="X515" s="34"/>
      <c r="Y515" s="34"/>
      <c r="Z515" s="34"/>
      <c r="AA515" s="34"/>
      <c r="AB515" s="34"/>
      <c r="AC515" s="34"/>
      <c r="AD515" s="34"/>
      <c r="AE515" s="34"/>
    </row>
    <row r="516" spans="4:31" ht="11.25"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  <c r="Z516" s="34"/>
      <c r="AA516" s="34"/>
      <c r="AB516" s="34"/>
      <c r="AC516" s="34"/>
      <c r="AD516" s="34"/>
      <c r="AE516" s="34"/>
    </row>
    <row r="517" spans="4:31" ht="11.25"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  <c r="Z517" s="34"/>
      <c r="AA517" s="34"/>
      <c r="AB517" s="34"/>
      <c r="AC517" s="34"/>
      <c r="AD517" s="34"/>
      <c r="AE517" s="34"/>
    </row>
    <row r="518" spans="4:31" ht="11.25"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  <c r="Z518" s="34"/>
      <c r="AA518" s="34"/>
      <c r="AB518" s="34"/>
      <c r="AC518" s="34"/>
      <c r="AD518" s="34"/>
      <c r="AE518" s="34"/>
    </row>
    <row r="519" spans="4:31" ht="11.25">
      <c r="D519" s="34"/>
      <c r="E519" s="34"/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  <c r="W519" s="34"/>
      <c r="X519" s="34"/>
      <c r="Y519" s="34"/>
      <c r="Z519" s="34"/>
      <c r="AA519" s="34"/>
      <c r="AB519" s="34"/>
      <c r="AC519" s="34"/>
      <c r="AD519" s="34"/>
      <c r="AE519" s="34"/>
    </row>
    <row r="520" spans="4:31" ht="11.25"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/>
      <c r="AA520" s="34"/>
      <c r="AB520" s="34"/>
      <c r="AC520" s="34"/>
      <c r="AD520" s="34"/>
      <c r="AE520" s="34"/>
    </row>
    <row r="521" spans="4:31" ht="11.25">
      <c r="D521" s="34"/>
      <c r="E521" s="34"/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4"/>
      <c r="Q521" s="34"/>
      <c r="R521" s="34"/>
      <c r="S521" s="34"/>
      <c r="T521" s="34"/>
      <c r="U521" s="34"/>
      <c r="V521" s="34"/>
      <c r="W521" s="34"/>
      <c r="X521" s="34"/>
      <c r="Y521" s="34"/>
      <c r="Z521" s="34"/>
      <c r="AA521" s="34"/>
      <c r="AB521" s="34"/>
      <c r="AC521" s="34"/>
      <c r="AD521" s="34"/>
      <c r="AE521" s="34"/>
    </row>
    <row r="522" spans="4:31" ht="11.25">
      <c r="D522" s="34"/>
      <c r="E522" s="34"/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  <c r="W522" s="34"/>
      <c r="X522" s="34"/>
      <c r="Y522" s="34"/>
      <c r="Z522" s="34"/>
      <c r="AA522" s="34"/>
      <c r="AB522" s="34"/>
      <c r="AC522" s="34"/>
      <c r="AD522" s="34"/>
      <c r="AE522" s="34"/>
    </row>
    <row r="523" spans="4:31" ht="11.25">
      <c r="D523" s="34"/>
      <c r="E523" s="34"/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  <c r="W523" s="34"/>
      <c r="X523" s="34"/>
      <c r="Y523" s="34"/>
      <c r="Z523" s="34"/>
      <c r="AA523" s="34"/>
      <c r="AB523" s="34"/>
      <c r="AC523" s="34"/>
      <c r="AD523" s="34"/>
      <c r="AE523" s="34"/>
    </row>
    <row r="524" spans="4:31" ht="11.25">
      <c r="D524" s="34"/>
      <c r="E524" s="34"/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4"/>
      <c r="W524" s="34"/>
      <c r="X524" s="34"/>
      <c r="Y524" s="34"/>
      <c r="Z524" s="34"/>
      <c r="AA524" s="34"/>
      <c r="AB524" s="34"/>
      <c r="AC524" s="34"/>
      <c r="AD524" s="34"/>
      <c r="AE524" s="34"/>
    </row>
    <row r="525" spans="4:31" ht="11.25">
      <c r="D525" s="34"/>
      <c r="E525" s="34"/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34"/>
      <c r="X525" s="34"/>
      <c r="Y525" s="34"/>
      <c r="Z525" s="34"/>
      <c r="AA525" s="34"/>
      <c r="AB525" s="34"/>
      <c r="AC525" s="34"/>
      <c r="AD525" s="34"/>
      <c r="AE525" s="34"/>
    </row>
    <row r="526" spans="4:31" ht="11.25">
      <c r="D526" s="34"/>
      <c r="E526" s="34"/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  <c r="W526" s="34"/>
      <c r="X526" s="34"/>
      <c r="Y526" s="34"/>
      <c r="Z526" s="34"/>
      <c r="AA526" s="34"/>
      <c r="AB526" s="34"/>
      <c r="AC526" s="34"/>
      <c r="AD526" s="34"/>
      <c r="AE526" s="34"/>
    </row>
    <row r="527" spans="4:31" ht="11.25">
      <c r="D527" s="34"/>
      <c r="E527" s="34"/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  <c r="W527" s="34"/>
      <c r="X527" s="34"/>
      <c r="Y527" s="34"/>
      <c r="Z527" s="34"/>
      <c r="AA527" s="34"/>
      <c r="AB527" s="34"/>
      <c r="AC527" s="34"/>
      <c r="AD527" s="34"/>
      <c r="AE527" s="34"/>
    </row>
    <row r="528" spans="4:31" ht="11.25">
      <c r="D528" s="34"/>
      <c r="E528" s="34"/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  <c r="W528" s="34"/>
      <c r="X528" s="34"/>
      <c r="Y528" s="34"/>
      <c r="Z528" s="34"/>
      <c r="AA528" s="34"/>
      <c r="AB528" s="34"/>
      <c r="AC528" s="34"/>
      <c r="AD528" s="34"/>
      <c r="AE528" s="34"/>
    </row>
    <row r="529" spans="4:31" ht="11.25">
      <c r="D529" s="34"/>
      <c r="E529" s="34"/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  <c r="W529" s="34"/>
      <c r="X529" s="34"/>
      <c r="Y529" s="34"/>
      <c r="Z529" s="34"/>
      <c r="AA529" s="34"/>
      <c r="AB529" s="34"/>
      <c r="AC529" s="34"/>
      <c r="AD529" s="34"/>
      <c r="AE529" s="34"/>
    </row>
    <row r="530" spans="4:31" ht="11.25">
      <c r="D530" s="34"/>
      <c r="E530" s="34"/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4"/>
      <c r="X530" s="34"/>
      <c r="Y530" s="34"/>
      <c r="Z530" s="34"/>
      <c r="AA530" s="34"/>
      <c r="AB530" s="34"/>
      <c r="AC530" s="34"/>
      <c r="AD530" s="34"/>
      <c r="AE530" s="34"/>
    </row>
    <row r="531" spans="4:31" ht="11.25">
      <c r="D531" s="34"/>
      <c r="E531" s="34"/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  <c r="W531" s="34"/>
      <c r="X531" s="34"/>
      <c r="Y531" s="34"/>
      <c r="Z531" s="34"/>
      <c r="AA531" s="34"/>
      <c r="AB531" s="34"/>
      <c r="AC531" s="34"/>
      <c r="AD531" s="34"/>
      <c r="AE531" s="34"/>
    </row>
    <row r="532" spans="4:31" ht="11.25">
      <c r="D532" s="34"/>
      <c r="E532" s="34"/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  <c r="W532" s="34"/>
      <c r="X532" s="34"/>
      <c r="Y532" s="34"/>
      <c r="Z532" s="34"/>
      <c r="AA532" s="34"/>
      <c r="AB532" s="34"/>
      <c r="AC532" s="34"/>
      <c r="AD532" s="34"/>
      <c r="AE532" s="34"/>
    </row>
    <row r="533" spans="4:31" ht="11.25">
      <c r="D533" s="34"/>
      <c r="E533" s="34"/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  <c r="W533" s="34"/>
      <c r="X533" s="34"/>
      <c r="Y533" s="34"/>
      <c r="Z533" s="34"/>
      <c r="AA533" s="34"/>
      <c r="AB533" s="34"/>
      <c r="AC533" s="34"/>
      <c r="AD533" s="34"/>
      <c r="AE533" s="34"/>
    </row>
    <row r="534" spans="4:31" ht="11.25">
      <c r="D534" s="34"/>
      <c r="E534" s="34"/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  <c r="W534" s="34"/>
      <c r="X534" s="34"/>
      <c r="Y534" s="34"/>
      <c r="Z534" s="34"/>
      <c r="AA534" s="34"/>
      <c r="AB534" s="34"/>
      <c r="AC534" s="34"/>
      <c r="AD534" s="34"/>
      <c r="AE534" s="34"/>
    </row>
    <row r="535" spans="4:31" ht="11.25">
      <c r="D535" s="34"/>
      <c r="E535" s="34"/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34"/>
      <c r="X535" s="34"/>
      <c r="Y535" s="34"/>
      <c r="Z535" s="34"/>
      <c r="AA535" s="34"/>
      <c r="AB535" s="34"/>
      <c r="AC535" s="34"/>
      <c r="AD535" s="34"/>
      <c r="AE535" s="34"/>
    </row>
    <row r="536" spans="4:31" ht="11.25">
      <c r="D536" s="34"/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34"/>
      <c r="X536" s="34"/>
      <c r="Y536" s="34"/>
      <c r="Z536" s="34"/>
      <c r="AA536" s="34"/>
      <c r="AB536" s="34"/>
      <c r="AC536" s="34"/>
      <c r="AD536" s="34"/>
      <c r="AE536" s="34"/>
    </row>
    <row r="537" spans="4:31" ht="11.25">
      <c r="D537" s="34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4"/>
      <c r="X537" s="34"/>
      <c r="Y537" s="34"/>
      <c r="Z537" s="34"/>
      <c r="AA537" s="34"/>
      <c r="AB537" s="34"/>
      <c r="AC537" s="34"/>
      <c r="AD537" s="34"/>
      <c r="AE537" s="34"/>
    </row>
    <row r="538" spans="4:31" ht="11.25">
      <c r="D538" s="34"/>
      <c r="E538" s="34"/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  <c r="W538" s="34"/>
      <c r="X538" s="34"/>
      <c r="Y538" s="34"/>
      <c r="Z538" s="34"/>
      <c r="AA538" s="34"/>
      <c r="AB538" s="34"/>
      <c r="AC538" s="34"/>
      <c r="AD538" s="34"/>
      <c r="AE538" s="34"/>
    </row>
    <row r="539" spans="4:31" ht="11.25">
      <c r="D539" s="34"/>
      <c r="E539" s="34"/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34"/>
      <c r="Q539" s="34"/>
      <c r="R539" s="34"/>
      <c r="S539" s="34"/>
      <c r="T539" s="34"/>
      <c r="U539" s="34"/>
      <c r="V539" s="34"/>
      <c r="W539" s="34"/>
      <c r="X539" s="34"/>
      <c r="Y539" s="34"/>
      <c r="Z539" s="34"/>
      <c r="AA539" s="34"/>
      <c r="AB539" s="34"/>
      <c r="AC539" s="34"/>
      <c r="AD539" s="34"/>
      <c r="AE539" s="34"/>
    </row>
    <row r="540" spans="4:31" ht="11.25">
      <c r="D540" s="34"/>
      <c r="E540" s="34"/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  <c r="W540" s="34"/>
      <c r="X540" s="34"/>
      <c r="Y540" s="34"/>
      <c r="Z540" s="34"/>
      <c r="AA540" s="34"/>
      <c r="AB540" s="34"/>
      <c r="AC540" s="34"/>
      <c r="AD540" s="34"/>
      <c r="AE540" s="34"/>
    </row>
    <row r="541" spans="4:31" ht="11.25">
      <c r="D541" s="34"/>
      <c r="E541" s="34"/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34"/>
      <c r="W541" s="34"/>
      <c r="X541" s="34"/>
      <c r="Y541" s="34"/>
      <c r="Z541" s="34"/>
      <c r="AA541" s="34"/>
      <c r="AB541" s="34"/>
      <c r="AC541" s="34"/>
      <c r="AD541" s="34"/>
      <c r="AE541" s="34"/>
    </row>
    <row r="542" spans="4:31" ht="11.25">
      <c r="D542" s="34"/>
      <c r="E542" s="34"/>
      <c r="F542" s="34"/>
      <c r="G542" s="34"/>
      <c r="H542" s="34"/>
      <c r="I542" s="34"/>
      <c r="J542" s="34"/>
      <c r="K542" s="34"/>
      <c r="L542" s="34"/>
      <c r="M542" s="34"/>
      <c r="N542" s="34"/>
      <c r="O542" s="34"/>
      <c r="P542" s="34"/>
      <c r="Q542" s="34"/>
      <c r="R542" s="34"/>
      <c r="S542" s="34"/>
      <c r="T542" s="34"/>
      <c r="U542" s="34"/>
      <c r="V542" s="34"/>
      <c r="W542" s="34"/>
      <c r="X542" s="34"/>
      <c r="Y542" s="34"/>
      <c r="Z542" s="34"/>
      <c r="AA542" s="34"/>
      <c r="AB542" s="34"/>
      <c r="AC542" s="34"/>
      <c r="AD542" s="34"/>
      <c r="AE542" s="34"/>
    </row>
    <row r="543" spans="4:31" ht="11.25">
      <c r="D543" s="34"/>
      <c r="E543" s="34"/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  <c r="W543" s="34"/>
      <c r="X543" s="34"/>
      <c r="Y543" s="34"/>
      <c r="Z543" s="34"/>
      <c r="AA543" s="34"/>
      <c r="AB543" s="34"/>
      <c r="AC543" s="34"/>
      <c r="AD543" s="34"/>
      <c r="AE543" s="34"/>
    </row>
    <row r="544" spans="4:31" ht="11.25">
      <c r="D544" s="34"/>
      <c r="E544" s="34"/>
      <c r="F544" s="34"/>
      <c r="G544" s="34"/>
      <c r="H544" s="34"/>
      <c r="I544" s="34"/>
      <c r="J544" s="34"/>
      <c r="K544" s="34"/>
      <c r="L544" s="34"/>
      <c r="M544" s="34"/>
      <c r="N544" s="34"/>
      <c r="O544" s="34"/>
      <c r="P544" s="34"/>
      <c r="Q544" s="34"/>
      <c r="R544" s="34"/>
      <c r="S544" s="34"/>
      <c r="T544" s="34"/>
      <c r="U544" s="34"/>
      <c r="V544" s="34"/>
      <c r="W544" s="34"/>
      <c r="X544" s="34"/>
      <c r="Y544" s="34"/>
      <c r="Z544" s="34"/>
      <c r="AA544" s="34"/>
      <c r="AB544" s="34"/>
      <c r="AC544" s="34"/>
      <c r="AD544" s="34"/>
      <c r="AE544" s="34"/>
    </row>
    <row r="545" spans="4:31" ht="11.25">
      <c r="D545" s="34"/>
      <c r="E545" s="34"/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34"/>
      <c r="W545" s="34"/>
      <c r="X545" s="34"/>
      <c r="Y545" s="34"/>
      <c r="Z545" s="34"/>
      <c r="AA545" s="34"/>
      <c r="AB545" s="34"/>
      <c r="AC545" s="34"/>
      <c r="AD545" s="34"/>
      <c r="AE545" s="34"/>
    </row>
    <row r="546" spans="4:31" ht="11.25">
      <c r="D546" s="34"/>
      <c r="E546" s="34"/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4"/>
      <c r="Z546" s="34"/>
      <c r="AA546" s="34"/>
      <c r="AB546" s="34"/>
      <c r="AC546" s="34"/>
      <c r="AD546" s="34"/>
      <c r="AE546" s="34"/>
    </row>
    <row r="547" spans="4:31" ht="11.25">
      <c r="D547" s="34"/>
      <c r="E547" s="34"/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34"/>
      <c r="W547" s="34"/>
      <c r="X547" s="34"/>
      <c r="Y547" s="34"/>
      <c r="Z547" s="34"/>
      <c r="AA547" s="34"/>
      <c r="AB547" s="34"/>
      <c r="AC547" s="34"/>
      <c r="AD547" s="34"/>
      <c r="AE547" s="34"/>
    </row>
    <row r="548" spans="4:31" ht="11.25">
      <c r="D548" s="34"/>
      <c r="E548" s="34"/>
      <c r="F548" s="34"/>
      <c r="G548" s="34"/>
      <c r="H548" s="34"/>
      <c r="I548" s="34"/>
      <c r="J548" s="34"/>
      <c r="K548" s="34"/>
      <c r="L548" s="34"/>
      <c r="M548" s="34"/>
      <c r="N548" s="34"/>
      <c r="O548" s="34"/>
      <c r="P548" s="34"/>
      <c r="Q548" s="34"/>
      <c r="R548" s="34"/>
      <c r="S548" s="34"/>
      <c r="T548" s="34"/>
      <c r="U548" s="34"/>
      <c r="V548" s="34"/>
      <c r="W548" s="34"/>
      <c r="X548" s="34"/>
      <c r="Y548" s="34"/>
      <c r="Z548" s="34"/>
      <c r="AA548" s="34"/>
      <c r="AB548" s="34"/>
      <c r="AC548" s="34"/>
      <c r="AD548" s="34"/>
      <c r="AE548" s="34"/>
    </row>
    <row r="549" spans="4:31" ht="11.25">
      <c r="D549" s="34"/>
      <c r="E549" s="34"/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34"/>
      <c r="Q549" s="34"/>
      <c r="R549" s="34"/>
      <c r="S549" s="34"/>
      <c r="T549" s="34"/>
      <c r="U549" s="34"/>
      <c r="V549" s="34"/>
      <c r="W549" s="34"/>
      <c r="X549" s="34"/>
      <c r="Y549" s="34"/>
      <c r="Z549" s="34"/>
      <c r="AA549" s="34"/>
      <c r="AB549" s="34"/>
      <c r="AC549" s="34"/>
      <c r="AD549" s="34"/>
      <c r="AE549" s="34"/>
    </row>
    <row r="550" spans="4:31" ht="11.25">
      <c r="D550" s="34"/>
      <c r="E550" s="34"/>
      <c r="F550" s="34"/>
      <c r="G550" s="34"/>
      <c r="H550" s="34"/>
      <c r="I550" s="34"/>
      <c r="J550" s="34"/>
      <c r="K550" s="34"/>
      <c r="L550" s="34"/>
      <c r="M550" s="34"/>
      <c r="N550" s="34"/>
      <c r="O550" s="34"/>
      <c r="P550" s="34"/>
      <c r="Q550" s="34"/>
      <c r="R550" s="34"/>
      <c r="S550" s="34"/>
      <c r="T550" s="34"/>
      <c r="U550" s="34"/>
      <c r="V550" s="34"/>
      <c r="W550" s="34"/>
      <c r="X550" s="34"/>
      <c r="Y550" s="34"/>
      <c r="Z550" s="34"/>
      <c r="AA550" s="34"/>
      <c r="AB550" s="34"/>
      <c r="AC550" s="34"/>
      <c r="AD550" s="34"/>
      <c r="AE550" s="34"/>
    </row>
    <row r="551" spans="4:31" ht="11.25"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34"/>
      <c r="Q551" s="34"/>
      <c r="R551" s="34"/>
      <c r="S551" s="34"/>
      <c r="T551" s="34"/>
      <c r="U551" s="34"/>
      <c r="V551" s="34"/>
      <c r="W551" s="34"/>
      <c r="X551" s="34"/>
      <c r="Y551" s="34"/>
      <c r="Z551" s="34"/>
      <c r="AA551" s="34"/>
      <c r="AB551" s="34"/>
      <c r="AC551" s="34"/>
      <c r="AD551" s="34"/>
      <c r="AE551" s="34"/>
    </row>
    <row r="552" spans="4:31" ht="11.25"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34"/>
      <c r="Q552" s="34"/>
      <c r="R552" s="34"/>
      <c r="S552" s="34"/>
      <c r="T552" s="34"/>
      <c r="U552" s="34"/>
      <c r="V552" s="34"/>
      <c r="W552" s="34"/>
      <c r="X552" s="34"/>
      <c r="Y552" s="34"/>
      <c r="Z552" s="34"/>
      <c r="AA552" s="34"/>
      <c r="AB552" s="34"/>
      <c r="AC552" s="34"/>
      <c r="AD552" s="34"/>
      <c r="AE552" s="34"/>
    </row>
    <row r="553" spans="4:31" ht="11.25"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34"/>
      <c r="Q553" s="34"/>
      <c r="R553" s="34"/>
      <c r="S553" s="34"/>
      <c r="T553" s="34"/>
      <c r="U553" s="34"/>
      <c r="V553" s="34"/>
      <c r="W553" s="34"/>
      <c r="X553" s="34"/>
      <c r="Y553" s="34"/>
      <c r="Z553" s="34"/>
      <c r="AA553" s="34"/>
      <c r="AB553" s="34"/>
      <c r="AC553" s="34"/>
      <c r="AD553" s="34"/>
      <c r="AE553" s="34"/>
    </row>
    <row r="554" spans="4:31" ht="11.25">
      <c r="D554" s="34"/>
      <c r="E554" s="34"/>
      <c r="F554" s="34"/>
      <c r="G554" s="34"/>
      <c r="H554" s="34"/>
      <c r="I554" s="34"/>
      <c r="J554" s="34"/>
      <c r="K554" s="34"/>
      <c r="L554" s="34"/>
      <c r="M554" s="34"/>
      <c r="N554" s="34"/>
      <c r="O554" s="34"/>
      <c r="P554" s="34"/>
      <c r="Q554" s="34"/>
      <c r="R554" s="34"/>
      <c r="S554" s="34"/>
      <c r="T554" s="34"/>
      <c r="U554" s="34"/>
      <c r="V554" s="34"/>
      <c r="W554" s="34"/>
      <c r="X554" s="34"/>
      <c r="Y554" s="34"/>
      <c r="Z554" s="34"/>
      <c r="AA554" s="34"/>
      <c r="AB554" s="34"/>
      <c r="AC554" s="34"/>
      <c r="AD554" s="34"/>
      <c r="AE554" s="34"/>
    </row>
    <row r="555" spans="4:31" ht="11.25">
      <c r="D555" s="34"/>
      <c r="E555" s="34"/>
      <c r="F555" s="34"/>
      <c r="G555" s="34"/>
      <c r="H555" s="34"/>
      <c r="I555" s="34"/>
      <c r="J555" s="34"/>
      <c r="K555" s="34"/>
      <c r="L555" s="34"/>
      <c r="M555" s="34"/>
      <c r="N555" s="34"/>
      <c r="O555" s="34"/>
      <c r="P555" s="34"/>
      <c r="Q555" s="34"/>
      <c r="R555" s="34"/>
      <c r="S555" s="34"/>
      <c r="T555" s="34"/>
      <c r="U555" s="34"/>
      <c r="V555" s="34"/>
      <c r="W555" s="34"/>
      <c r="X555" s="34"/>
      <c r="Y555" s="34"/>
      <c r="Z555" s="34"/>
      <c r="AA555" s="34"/>
      <c r="AB555" s="34"/>
      <c r="AC555" s="34"/>
      <c r="AD555" s="34"/>
      <c r="AE555" s="34"/>
    </row>
    <row r="556" spans="4:31" ht="11.25">
      <c r="D556" s="34"/>
      <c r="E556" s="34"/>
      <c r="F556" s="34"/>
      <c r="G556" s="34"/>
      <c r="H556" s="34"/>
      <c r="I556" s="34"/>
      <c r="J556" s="34"/>
      <c r="K556" s="34"/>
      <c r="L556" s="34"/>
      <c r="M556" s="34"/>
      <c r="N556" s="34"/>
      <c r="O556" s="34"/>
      <c r="P556" s="34"/>
      <c r="Q556" s="34"/>
      <c r="R556" s="34"/>
      <c r="S556" s="34"/>
      <c r="T556" s="34"/>
      <c r="U556" s="34"/>
      <c r="V556" s="34"/>
      <c r="W556" s="34"/>
      <c r="X556" s="34"/>
      <c r="Y556" s="34"/>
      <c r="Z556" s="34"/>
      <c r="AA556" s="34"/>
      <c r="AB556" s="34"/>
      <c r="AC556" s="34"/>
      <c r="AD556" s="34"/>
      <c r="AE556" s="34"/>
    </row>
    <row r="557" spans="4:31" ht="11.25">
      <c r="D557" s="34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4"/>
      <c r="Q557" s="34"/>
      <c r="R557" s="34"/>
      <c r="S557" s="34"/>
      <c r="T557" s="34"/>
      <c r="U557" s="34"/>
      <c r="V557" s="34"/>
      <c r="W557" s="34"/>
      <c r="X557" s="34"/>
      <c r="Y557" s="34"/>
      <c r="Z557" s="34"/>
      <c r="AA557" s="34"/>
      <c r="AB557" s="34"/>
      <c r="AC557" s="34"/>
      <c r="AD557" s="34"/>
      <c r="AE557" s="34"/>
    </row>
    <row r="558" spans="4:31" ht="11.25">
      <c r="D558" s="34"/>
      <c r="E558" s="34"/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34"/>
      <c r="Q558" s="34"/>
      <c r="R558" s="34"/>
      <c r="S558" s="34"/>
      <c r="T558" s="34"/>
      <c r="U558" s="34"/>
      <c r="V558" s="34"/>
      <c r="W558" s="34"/>
      <c r="X558" s="34"/>
      <c r="Y558" s="34"/>
      <c r="Z558" s="34"/>
      <c r="AA558" s="34"/>
      <c r="AB558" s="34"/>
      <c r="AC558" s="34"/>
      <c r="AD558" s="34"/>
      <c r="AE558" s="34"/>
    </row>
    <row r="559" spans="4:31" ht="11.25">
      <c r="D559" s="34"/>
      <c r="E559" s="34"/>
      <c r="F559" s="34"/>
      <c r="G559" s="34"/>
      <c r="H559" s="34"/>
      <c r="I559" s="34"/>
      <c r="J559" s="34"/>
      <c r="K559" s="34"/>
      <c r="L559" s="34"/>
      <c r="M559" s="34"/>
      <c r="N559" s="34"/>
      <c r="O559" s="34"/>
      <c r="P559" s="34"/>
      <c r="Q559" s="34"/>
      <c r="R559" s="34"/>
      <c r="S559" s="34"/>
      <c r="T559" s="34"/>
      <c r="U559" s="34"/>
      <c r="V559" s="34"/>
      <c r="W559" s="34"/>
      <c r="X559" s="34"/>
      <c r="Y559" s="34"/>
      <c r="Z559" s="34"/>
      <c r="AA559" s="34"/>
      <c r="AB559" s="34"/>
      <c r="AC559" s="34"/>
      <c r="AD559" s="34"/>
      <c r="AE559" s="34"/>
    </row>
    <row r="560" spans="4:31" ht="11.25">
      <c r="D560" s="34"/>
      <c r="E560" s="34"/>
      <c r="F560" s="34"/>
      <c r="G560" s="34"/>
      <c r="H560" s="34"/>
      <c r="I560" s="34"/>
      <c r="J560" s="34"/>
      <c r="K560" s="34"/>
      <c r="L560" s="34"/>
      <c r="M560" s="34"/>
      <c r="N560" s="34"/>
      <c r="O560" s="34"/>
      <c r="P560" s="34"/>
      <c r="Q560" s="34"/>
      <c r="R560" s="34"/>
      <c r="S560" s="34"/>
      <c r="T560" s="34"/>
      <c r="U560" s="34"/>
      <c r="V560" s="34"/>
      <c r="W560" s="34"/>
      <c r="X560" s="34"/>
      <c r="Y560" s="34"/>
      <c r="Z560" s="34"/>
      <c r="AA560" s="34"/>
      <c r="AB560" s="34"/>
      <c r="AC560" s="34"/>
      <c r="AD560" s="34"/>
      <c r="AE560" s="34"/>
    </row>
    <row r="561" spans="4:31" ht="11.25">
      <c r="D561" s="34"/>
      <c r="E561" s="34"/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34"/>
      <c r="Q561" s="34"/>
      <c r="R561" s="34"/>
      <c r="S561" s="34"/>
      <c r="T561" s="34"/>
      <c r="U561" s="34"/>
      <c r="V561" s="34"/>
      <c r="W561" s="34"/>
      <c r="X561" s="34"/>
      <c r="Y561" s="34"/>
      <c r="Z561" s="34"/>
      <c r="AA561" s="34"/>
      <c r="AB561" s="34"/>
      <c r="AC561" s="34"/>
      <c r="AD561" s="34"/>
      <c r="AE561" s="34"/>
    </row>
    <row r="562" spans="4:31" ht="11.25">
      <c r="D562" s="34"/>
      <c r="E562" s="34"/>
      <c r="F562" s="34"/>
      <c r="G562" s="34"/>
      <c r="H562" s="34"/>
      <c r="I562" s="34"/>
      <c r="J562" s="34"/>
      <c r="K562" s="34"/>
      <c r="L562" s="34"/>
      <c r="M562" s="34"/>
      <c r="N562" s="34"/>
      <c r="O562" s="34"/>
      <c r="P562" s="34"/>
      <c r="Q562" s="34"/>
      <c r="R562" s="34"/>
      <c r="S562" s="34"/>
      <c r="T562" s="34"/>
      <c r="U562" s="34"/>
      <c r="V562" s="34"/>
      <c r="W562" s="34"/>
      <c r="X562" s="34"/>
      <c r="Y562" s="34"/>
      <c r="Z562" s="34"/>
      <c r="AA562" s="34"/>
      <c r="AB562" s="34"/>
      <c r="AC562" s="34"/>
      <c r="AD562" s="34"/>
      <c r="AE562" s="34"/>
    </row>
    <row r="563" spans="4:31" ht="11.25">
      <c r="D563" s="34"/>
      <c r="E563" s="34"/>
      <c r="F563" s="34"/>
      <c r="G563" s="34"/>
      <c r="H563" s="34"/>
      <c r="I563" s="34"/>
      <c r="J563" s="34"/>
      <c r="K563" s="34"/>
      <c r="L563" s="34"/>
      <c r="M563" s="34"/>
      <c r="N563" s="34"/>
      <c r="O563" s="34"/>
      <c r="P563" s="34"/>
      <c r="Q563" s="34"/>
      <c r="R563" s="34"/>
      <c r="S563" s="34"/>
      <c r="T563" s="34"/>
      <c r="U563" s="34"/>
      <c r="V563" s="34"/>
      <c r="W563" s="34"/>
      <c r="X563" s="34"/>
      <c r="Y563" s="34"/>
      <c r="Z563" s="34"/>
      <c r="AA563" s="34"/>
      <c r="AB563" s="34"/>
      <c r="AC563" s="34"/>
      <c r="AD563" s="34"/>
      <c r="AE563" s="34"/>
    </row>
    <row r="564" spans="4:31" ht="11.25">
      <c r="D564" s="34"/>
      <c r="E564" s="34"/>
      <c r="F564" s="34"/>
      <c r="G564" s="34"/>
      <c r="H564" s="34"/>
      <c r="I564" s="34"/>
      <c r="J564" s="34"/>
      <c r="K564" s="34"/>
      <c r="L564" s="34"/>
      <c r="M564" s="34"/>
      <c r="N564" s="34"/>
      <c r="O564" s="34"/>
      <c r="P564" s="34"/>
      <c r="Q564" s="34"/>
      <c r="R564" s="34"/>
      <c r="S564" s="34"/>
      <c r="T564" s="34"/>
      <c r="U564" s="34"/>
      <c r="V564" s="34"/>
      <c r="W564" s="34"/>
      <c r="X564" s="34"/>
      <c r="Y564" s="34"/>
      <c r="Z564" s="34"/>
      <c r="AA564" s="34"/>
      <c r="AB564" s="34"/>
      <c r="AC564" s="34"/>
      <c r="AD564" s="34"/>
      <c r="AE564" s="34"/>
    </row>
    <row r="565" spans="4:31" ht="11.25">
      <c r="D565" s="34"/>
      <c r="E565" s="34"/>
      <c r="F565" s="34"/>
      <c r="G565" s="34"/>
      <c r="H565" s="34"/>
      <c r="I565" s="34"/>
      <c r="J565" s="34"/>
      <c r="K565" s="34"/>
      <c r="L565" s="34"/>
      <c r="M565" s="34"/>
      <c r="N565" s="34"/>
      <c r="O565" s="34"/>
      <c r="P565" s="34"/>
      <c r="Q565" s="34"/>
      <c r="R565" s="34"/>
      <c r="S565" s="34"/>
      <c r="T565" s="34"/>
      <c r="U565" s="34"/>
      <c r="V565" s="34"/>
      <c r="W565" s="34"/>
      <c r="X565" s="34"/>
      <c r="Y565" s="34"/>
      <c r="Z565" s="34"/>
      <c r="AA565" s="34"/>
      <c r="AB565" s="34"/>
      <c r="AC565" s="34"/>
      <c r="AD565" s="34"/>
      <c r="AE565" s="34"/>
    </row>
    <row r="566" spans="4:31" ht="11.25">
      <c r="D566" s="34"/>
      <c r="E566" s="34"/>
      <c r="F566" s="34"/>
      <c r="G566" s="34"/>
      <c r="H566" s="34"/>
      <c r="I566" s="34"/>
      <c r="J566" s="34"/>
      <c r="K566" s="34"/>
      <c r="L566" s="34"/>
      <c r="M566" s="34"/>
      <c r="N566" s="34"/>
      <c r="O566" s="34"/>
      <c r="P566" s="34"/>
      <c r="Q566" s="34"/>
      <c r="R566" s="34"/>
      <c r="S566" s="34"/>
      <c r="T566" s="34"/>
      <c r="U566" s="34"/>
      <c r="V566" s="34"/>
      <c r="W566" s="34"/>
      <c r="X566" s="34"/>
      <c r="Y566" s="34"/>
      <c r="Z566" s="34"/>
      <c r="AA566" s="34"/>
      <c r="AB566" s="34"/>
      <c r="AC566" s="34"/>
      <c r="AD566" s="34"/>
      <c r="AE566" s="34"/>
    </row>
    <row r="567" spans="4:31" ht="11.25">
      <c r="D567" s="34"/>
      <c r="E567" s="34"/>
      <c r="F567" s="34"/>
      <c r="G567" s="34"/>
      <c r="H567" s="34"/>
      <c r="I567" s="34"/>
      <c r="J567" s="34"/>
      <c r="K567" s="34"/>
      <c r="L567" s="34"/>
      <c r="M567" s="34"/>
      <c r="N567" s="34"/>
      <c r="O567" s="34"/>
      <c r="P567" s="34"/>
      <c r="Q567" s="34"/>
      <c r="R567" s="34"/>
      <c r="S567" s="34"/>
      <c r="T567" s="34"/>
      <c r="U567" s="34"/>
      <c r="V567" s="34"/>
      <c r="W567" s="34"/>
      <c r="X567" s="34"/>
      <c r="Y567" s="34"/>
      <c r="Z567" s="34"/>
      <c r="AA567" s="34"/>
      <c r="AB567" s="34"/>
      <c r="AC567" s="34"/>
      <c r="AD567" s="34"/>
      <c r="AE567" s="34"/>
    </row>
    <row r="568" spans="4:31" ht="11.25">
      <c r="D568" s="34"/>
      <c r="E568" s="34"/>
      <c r="F568" s="34"/>
      <c r="G568" s="34"/>
      <c r="H568" s="34"/>
      <c r="I568" s="34"/>
      <c r="J568" s="34"/>
      <c r="K568" s="34"/>
      <c r="L568" s="34"/>
      <c r="M568" s="34"/>
      <c r="N568" s="34"/>
      <c r="O568" s="34"/>
      <c r="P568" s="34"/>
      <c r="Q568" s="34"/>
      <c r="R568" s="34"/>
      <c r="S568" s="34"/>
      <c r="T568" s="34"/>
      <c r="U568" s="34"/>
      <c r="V568" s="34"/>
      <c r="W568" s="34"/>
      <c r="X568" s="34"/>
      <c r="Y568" s="34"/>
      <c r="Z568" s="34"/>
      <c r="AA568" s="34"/>
      <c r="AB568" s="34"/>
      <c r="AC568" s="34"/>
      <c r="AD568" s="34"/>
      <c r="AE568" s="34"/>
    </row>
    <row r="569" spans="4:31" ht="11.25">
      <c r="D569" s="34"/>
      <c r="E569" s="34"/>
      <c r="F569" s="34"/>
      <c r="G569" s="34"/>
      <c r="H569" s="34"/>
      <c r="I569" s="34"/>
      <c r="J569" s="34"/>
      <c r="K569" s="34"/>
      <c r="L569" s="34"/>
      <c r="M569" s="34"/>
      <c r="N569" s="34"/>
      <c r="O569" s="34"/>
      <c r="P569" s="34"/>
      <c r="Q569" s="34"/>
      <c r="R569" s="34"/>
      <c r="S569" s="34"/>
      <c r="T569" s="34"/>
      <c r="U569" s="34"/>
      <c r="V569" s="34"/>
      <c r="W569" s="34"/>
      <c r="X569" s="34"/>
      <c r="Y569" s="34"/>
      <c r="Z569" s="34"/>
      <c r="AA569" s="34"/>
      <c r="AB569" s="34"/>
      <c r="AC569" s="34"/>
      <c r="AD569" s="34"/>
      <c r="AE569" s="34"/>
    </row>
    <row r="570" spans="4:31" ht="11.25">
      <c r="D570" s="34"/>
      <c r="E570" s="34"/>
      <c r="F570" s="34"/>
      <c r="G570" s="34"/>
      <c r="H570" s="34"/>
      <c r="I570" s="34"/>
      <c r="J570" s="34"/>
      <c r="K570" s="34"/>
      <c r="L570" s="34"/>
      <c r="M570" s="34"/>
      <c r="N570" s="34"/>
      <c r="O570" s="34"/>
      <c r="P570" s="34"/>
      <c r="Q570" s="34"/>
      <c r="R570" s="34"/>
      <c r="S570" s="34"/>
      <c r="T570" s="34"/>
      <c r="U570" s="34"/>
      <c r="V570" s="34"/>
      <c r="W570" s="34"/>
      <c r="X570" s="34"/>
      <c r="Y570" s="34"/>
      <c r="Z570" s="34"/>
      <c r="AA570" s="34"/>
      <c r="AB570" s="34"/>
      <c r="AC570" s="34"/>
      <c r="AD570" s="34"/>
      <c r="AE570" s="34"/>
    </row>
    <row r="571" spans="4:31" ht="11.25">
      <c r="D571" s="34"/>
      <c r="E571" s="34"/>
      <c r="F571" s="34"/>
      <c r="G571" s="34"/>
      <c r="H571" s="34"/>
      <c r="I571" s="34"/>
      <c r="J571" s="34"/>
      <c r="K571" s="34"/>
      <c r="L571" s="34"/>
      <c r="M571" s="34"/>
      <c r="N571" s="34"/>
      <c r="O571" s="34"/>
      <c r="P571" s="34"/>
      <c r="Q571" s="34"/>
      <c r="R571" s="34"/>
      <c r="S571" s="34"/>
      <c r="T571" s="34"/>
      <c r="U571" s="34"/>
      <c r="V571" s="34"/>
      <c r="W571" s="34"/>
      <c r="X571" s="34"/>
      <c r="Y571" s="34"/>
      <c r="Z571" s="34"/>
      <c r="AA571" s="34"/>
      <c r="AB571" s="34"/>
      <c r="AC571" s="34"/>
      <c r="AD571" s="34"/>
      <c r="AE571" s="34"/>
    </row>
    <row r="572" spans="4:31" ht="11.25">
      <c r="D572" s="34"/>
      <c r="E572" s="34"/>
      <c r="F572" s="34"/>
      <c r="G572" s="34"/>
      <c r="H572" s="34"/>
      <c r="I572" s="34"/>
      <c r="J572" s="34"/>
      <c r="K572" s="34"/>
      <c r="L572" s="34"/>
      <c r="M572" s="34"/>
      <c r="N572" s="34"/>
      <c r="O572" s="34"/>
      <c r="P572" s="34"/>
      <c r="Q572" s="34"/>
      <c r="R572" s="34"/>
      <c r="S572" s="34"/>
      <c r="T572" s="34"/>
      <c r="U572" s="34"/>
      <c r="V572" s="34"/>
      <c r="W572" s="34"/>
      <c r="X572" s="34"/>
      <c r="Y572" s="34"/>
      <c r="Z572" s="34"/>
      <c r="AA572" s="34"/>
      <c r="AB572" s="34"/>
      <c r="AC572" s="34"/>
      <c r="AD572" s="34"/>
      <c r="AE572" s="34"/>
    </row>
    <row r="573" spans="4:31" ht="11.25">
      <c r="D573" s="34"/>
      <c r="E573" s="34"/>
      <c r="F573" s="34"/>
      <c r="G573" s="34"/>
      <c r="H573" s="34"/>
      <c r="I573" s="34"/>
      <c r="J573" s="34"/>
      <c r="K573" s="34"/>
      <c r="L573" s="34"/>
      <c r="M573" s="34"/>
      <c r="N573" s="34"/>
      <c r="O573" s="34"/>
      <c r="P573" s="34"/>
      <c r="Q573" s="34"/>
      <c r="R573" s="34"/>
      <c r="S573" s="34"/>
      <c r="T573" s="34"/>
      <c r="U573" s="34"/>
      <c r="V573" s="34"/>
      <c r="W573" s="34"/>
      <c r="X573" s="34"/>
      <c r="Y573" s="34"/>
      <c r="Z573" s="34"/>
      <c r="AA573" s="34"/>
      <c r="AB573" s="34"/>
      <c r="AC573" s="34"/>
      <c r="AD573" s="34"/>
      <c r="AE573" s="34"/>
    </row>
    <row r="574" spans="4:31" ht="11.25">
      <c r="D574" s="34"/>
      <c r="E574" s="34"/>
      <c r="F574" s="34"/>
      <c r="G574" s="34"/>
      <c r="H574" s="34"/>
      <c r="I574" s="34"/>
      <c r="J574" s="34"/>
      <c r="K574" s="34"/>
      <c r="L574" s="34"/>
      <c r="M574" s="34"/>
      <c r="N574" s="34"/>
      <c r="O574" s="34"/>
      <c r="P574" s="34"/>
      <c r="Q574" s="34"/>
      <c r="R574" s="34"/>
      <c r="S574" s="34"/>
      <c r="T574" s="34"/>
      <c r="U574" s="34"/>
      <c r="V574" s="34"/>
      <c r="W574" s="34"/>
      <c r="X574" s="34"/>
      <c r="Y574" s="34"/>
      <c r="Z574" s="34"/>
      <c r="AA574" s="34"/>
      <c r="AB574" s="34"/>
      <c r="AC574" s="34"/>
      <c r="AD574" s="34"/>
      <c r="AE574" s="34"/>
    </row>
    <row r="575" spans="4:31" ht="11.25">
      <c r="D575" s="34"/>
      <c r="E575" s="34"/>
      <c r="F575" s="34"/>
      <c r="G575" s="34"/>
      <c r="H575" s="34"/>
      <c r="I575" s="34"/>
      <c r="J575" s="34"/>
      <c r="K575" s="34"/>
      <c r="L575" s="34"/>
      <c r="M575" s="34"/>
      <c r="N575" s="34"/>
      <c r="O575" s="34"/>
      <c r="P575" s="34"/>
      <c r="Q575" s="34"/>
      <c r="R575" s="34"/>
      <c r="S575" s="34"/>
      <c r="T575" s="34"/>
      <c r="U575" s="34"/>
      <c r="V575" s="34"/>
      <c r="W575" s="34"/>
      <c r="X575" s="34"/>
      <c r="Y575" s="34"/>
      <c r="Z575" s="34"/>
      <c r="AA575" s="34"/>
      <c r="AB575" s="34"/>
      <c r="AC575" s="34"/>
      <c r="AD575" s="34"/>
      <c r="AE575" s="34"/>
    </row>
    <row r="576" spans="4:31" ht="11.25">
      <c r="D576" s="34"/>
      <c r="E576" s="34"/>
      <c r="F576" s="34"/>
      <c r="G576" s="34"/>
      <c r="H576" s="34"/>
      <c r="I576" s="34"/>
      <c r="J576" s="34"/>
      <c r="K576" s="34"/>
      <c r="L576" s="34"/>
      <c r="M576" s="34"/>
      <c r="N576" s="34"/>
      <c r="O576" s="34"/>
      <c r="P576" s="34"/>
      <c r="Q576" s="34"/>
      <c r="R576" s="34"/>
      <c r="S576" s="34"/>
      <c r="T576" s="34"/>
      <c r="U576" s="34"/>
      <c r="V576" s="34"/>
      <c r="W576" s="34"/>
      <c r="X576" s="34"/>
      <c r="Y576" s="34"/>
      <c r="Z576" s="34"/>
      <c r="AA576" s="34"/>
      <c r="AB576" s="34"/>
      <c r="AC576" s="34"/>
      <c r="AD576" s="34"/>
      <c r="AE576" s="34"/>
    </row>
    <row r="577" spans="4:31" ht="11.25">
      <c r="D577" s="34"/>
      <c r="E577" s="34"/>
      <c r="F577" s="34"/>
      <c r="G577" s="34"/>
      <c r="H577" s="34"/>
      <c r="I577" s="34"/>
      <c r="J577" s="34"/>
      <c r="K577" s="34"/>
      <c r="L577" s="34"/>
      <c r="M577" s="34"/>
      <c r="N577" s="34"/>
      <c r="O577" s="34"/>
      <c r="P577" s="34"/>
      <c r="Q577" s="34"/>
      <c r="R577" s="34"/>
      <c r="S577" s="34"/>
      <c r="T577" s="34"/>
      <c r="U577" s="34"/>
      <c r="V577" s="34"/>
      <c r="W577" s="34"/>
      <c r="X577" s="34"/>
      <c r="Y577" s="34"/>
      <c r="Z577" s="34"/>
      <c r="AA577" s="34"/>
      <c r="AB577" s="34"/>
      <c r="AC577" s="34"/>
      <c r="AD577" s="34"/>
      <c r="AE577" s="34"/>
    </row>
    <row r="578" spans="4:31" ht="11.25">
      <c r="D578" s="34"/>
      <c r="E578" s="34"/>
      <c r="F578" s="34"/>
      <c r="G578" s="34"/>
      <c r="H578" s="34"/>
      <c r="I578" s="34"/>
      <c r="J578" s="34"/>
      <c r="K578" s="34"/>
      <c r="L578" s="34"/>
      <c r="M578" s="34"/>
      <c r="N578" s="34"/>
      <c r="O578" s="34"/>
      <c r="P578" s="34"/>
      <c r="Q578" s="34"/>
      <c r="R578" s="34"/>
      <c r="S578" s="34"/>
      <c r="T578" s="34"/>
      <c r="U578" s="34"/>
      <c r="V578" s="34"/>
      <c r="W578" s="34"/>
      <c r="X578" s="34"/>
      <c r="Y578" s="34"/>
      <c r="Z578" s="34"/>
      <c r="AA578" s="34"/>
      <c r="AB578" s="34"/>
      <c r="AC578" s="34"/>
      <c r="AD578" s="34"/>
      <c r="AE578" s="34"/>
    </row>
    <row r="579" spans="4:31" ht="11.25">
      <c r="D579" s="34"/>
      <c r="E579" s="34"/>
      <c r="F579" s="34"/>
      <c r="G579" s="34"/>
      <c r="H579" s="34"/>
      <c r="I579" s="34"/>
      <c r="J579" s="34"/>
      <c r="K579" s="34"/>
      <c r="L579" s="34"/>
      <c r="M579" s="34"/>
      <c r="N579" s="34"/>
      <c r="O579" s="34"/>
      <c r="P579" s="34"/>
      <c r="Q579" s="34"/>
      <c r="R579" s="34"/>
      <c r="S579" s="34"/>
      <c r="T579" s="34"/>
      <c r="U579" s="34"/>
      <c r="V579" s="34"/>
      <c r="W579" s="34"/>
      <c r="X579" s="34"/>
      <c r="Y579" s="34"/>
      <c r="Z579" s="34"/>
      <c r="AA579" s="34"/>
      <c r="AB579" s="34"/>
      <c r="AC579" s="34"/>
      <c r="AD579" s="34"/>
      <c r="AE579" s="34"/>
    </row>
    <row r="580" spans="4:31" ht="11.25">
      <c r="D580" s="34"/>
      <c r="E580" s="34"/>
      <c r="F580" s="34"/>
      <c r="G580" s="34"/>
      <c r="H580" s="34"/>
      <c r="I580" s="34"/>
      <c r="J580" s="34"/>
      <c r="K580" s="34"/>
      <c r="L580" s="34"/>
      <c r="M580" s="34"/>
      <c r="N580" s="34"/>
      <c r="O580" s="34"/>
      <c r="P580" s="34"/>
      <c r="Q580" s="34"/>
      <c r="R580" s="34"/>
      <c r="S580" s="34"/>
      <c r="T580" s="34"/>
      <c r="U580" s="34"/>
      <c r="V580" s="34"/>
      <c r="W580" s="34"/>
      <c r="X580" s="34"/>
      <c r="Y580" s="34"/>
      <c r="Z580" s="34"/>
      <c r="AA580" s="34"/>
      <c r="AB580" s="34"/>
      <c r="AC580" s="34"/>
      <c r="AD580" s="34"/>
      <c r="AE580" s="34"/>
    </row>
    <row r="581" spans="4:31" ht="11.25">
      <c r="D581" s="34"/>
      <c r="E581" s="34"/>
      <c r="F581" s="34"/>
      <c r="G581" s="34"/>
      <c r="H581" s="34"/>
      <c r="I581" s="34"/>
      <c r="J581" s="34"/>
      <c r="K581" s="34"/>
      <c r="L581" s="34"/>
      <c r="M581" s="34"/>
      <c r="N581" s="34"/>
      <c r="O581" s="34"/>
      <c r="P581" s="34"/>
      <c r="Q581" s="34"/>
      <c r="R581" s="34"/>
      <c r="S581" s="34"/>
      <c r="T581" s="34"/>
      <c r="U581" s="34"/>
      <c r="V581" s="34"/>
      <c r="W581" s="34"/>
      <c r="X581" s="34"/>
      <c r="Y581" s="34"/>
      <c r="Z581" s="34"/>
      <c r="AA581" s="34"/>
      <c r="AB581" s="34"/>
      <c r="AC581" s="34"/>
      <c r="AD581" s="34"/>
      <c r="AE581" s="34"/>
    </row>
    <row r="582" spans="4:31" ht="11.25">
      <c r="D582" s="34"/>
      <c r="E582" s="34"/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4"/>
      <c r="Q582" s="34"/>
      <c r="R582" s="34"/>
      <c r="S582" s="34"/>
      <c r="T582" s="34"/>
      <c r="U582" s="34"/>
      <c r="V582" s="34"/>
      <c r="W582" s="34"/>
      <c r="X582" s="34"/>
      <c r="Y582" s="34"/>
      <c r="Z582" s="34"/>
      <c r="AA582" s="34"/>
      <c r="AB582" s="34"/>
      <c r="AC582" s="34"/>
      <c r="AD582" s="34"/>
      <c r="AE582" s="34"/>
    </row>
    <row r="583" spans="4:31" ht="11.25">
      <c r="D583" s="34"/>
      <c r="E583" s="34"/>
      <c r="F583" s="34"/>
      <c r="G583" s="34"/>
      <c r="H583" s="34"/>
      <c r="I583" s="34"/>
      <c r="J583" s="34"/>
      <c r="K583" s="34"/>
      <c r="L583" s="34"/>
      <c r="M583" s="34"/>
      <c r="N583" s="34"/>
      <c r="O583" s="34"/>
      <c r="P583" s="34"/>
      <c r="Q583" s="34"/>
      <c r="R583" s="34"/>
      <c r="S583" s="34"/>
      <c r="T583" s="34"/>
      <c r="U583" s="34"/>
      <c r="V583" s="34"/>
      <c r="W583" s="34"/>
      <c r="X583" s="34"/>
      <c r="Y583" s="34"/>
      <c r="Z583" s="34"/>
      <c r="AA583" s="34"/>
      <c r="AB583" s="34"/>
      <c r="AC583" s="34"/>
      <c r="AD583" s="34"/>
      <c r="AE583" s="34"/>
    </row>
    <row r="584" spans="4:31" ht="11.25">
      <c r="D584" s="34"/>
      <c r="E584" s="34"/>
      <c r="F584" s="34"/>
      <c r="G584" s="34"/>
      <c r="H584" s="34"/>
      <c r="I584" s="34"/>
      <c r="J584" s="34"/>
      <c r="K584" s="34"/>
      <c r="L584" s="34"/>
      <c r="M584" s="34"/>
      <c r="N584" s="34"/>
      <c r="O584" s="34"/>
      <c r="P584" s="34"/>
      <c r="Q584" s="34"/>
      <c r="R584" s="34"/>
      <c r="S584" s="34"/>
      <c r="T584" s="34"/>
      <c r="U584" s="34"/>
      <c r="V584" s="34"/>
      <c r="W584" s="34"/>
      <c r="X584" s="34"/>
      <c r="Y584" s="34"/>
      <c r="Z584" s="34"/>
      <c r="AA584" s="34"/>
      <c r="AB584" s="34"/>
      <c r="AC584" s="34"/>
      <c r="AD584" s="34"/>
      <c r="AE584" s="34"/>
    </row>
    <row r="585" spans="4:31" ht="11.25">
      <c r="D585" s="34"/>
      <c r="E585" s="34"/>
      <c r="F585" s="34"/>
      <c r="G585" s="34"/>
      <c r="H585" s="34"/>
      <c r="I585" s="34"/>
      <c r="J585" s="34"/>
      <c r="K585" s="34"/>
      <c r="L585" s="34"/>
      <c r="M585" s="34"/>
      <c r="N585" s="34"/>
      <c r="O585" s="34"/>
      <c r="P585" s="34"/>
      <c r="Q585" s="34"/>
      <c r="R585" s="34"/>
      <c r="S585" s="34"/>
      <c r="T585" s="34"/>
      <c r="U585" s="34"/>
      <c r="V585" s="34"/>
      <c r="W585" s="34"/>
      <c r="X585" s="34"/>
      <c r="Y585" s="34"/>
      <c r="Z585" s="34"/>
      <c r="AA585" s="34"/>
      <c r="AB585" s="34"/>
      <c r="AC585" s="34"/>
      <c r="AD585" s="34"/>
      <c r="AE585" s="34"/>
    </row>
    <row r="586" spans="4:31" ht="11.25">
      <c r="D586" s="34"/>
      <c r="E586" s="34"/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4"/>
      <c r="Z586" s="34"/>
      <c r="AA586" s="34"/>
      <c r="AB586" s="34"/>
      <c r="AC586" s="34"/>
      <c r="AD586" s="34"/>
      <c r="AE586" s="34"/>
    </row>
    <row r="587" spans="4:31" ht="11.25">
      <c r="D587" s="34"/>
      <c r="E587" s="34"/>
      <c r="F587" s="34"/>
      <c r="G587" s="34"/>
      <c r="H587" s="34"/>
      <c r="I587" s="34"/>
      <c r="J587" s="34"/>
      <c r="K587" s="34"/>
      <c r="L587" s="34"/>
      <c r="M587" s="34"/>
      <c r="N587" s="34"/>
      <c r="O587" s="34"/>
      <c r="P587" s="34"/>
      <c r="Q587" s="34"/>
      <c r="R587" s="34"/>
      <c r="S587" s="34"/>
      <c r="T587" s="34"/>
      <c r="U587" s="34"/>
      <c r="V587" s="34"/>
      <c r="W587" s="34"/>
      <c r="X587" s="34"/>
      <c r="Y587" s="34"/>
      <c r="Z587" s="34"/>
      <c r="AA587" s="34"/>
      <c r="AB587" s="34"/>
      <c r="AC587" s="34"/>
      <c r="AD587" s="34"/>
      <c r="AE587" s="34"/>
    </row>
    <row r="588" spans="4:31" ht="11.25">
      <c r="D588" s="34"/>
      <c r="E588" s="34"/>
      <c r="F588" s="34"/>
      <c r="G588" s="34"/>
      <c r="H588" s="34"/>
      <c r="I588" s="34"/>
      <c r="J588" s="34"/>
      <c r="K588" s="34"/>
      <c r="L588" s="34"/>
      <c r="M588" s="34"/>
      <c r="N588" s="34"/>
      <c r="O588" s="34"/>
      <c r="P588" s="34"/>
      <c r="Q588" s="34"/>
      <c r="R588" s="34"/>
      <c r="S588" s="34"/>
      <c r="T588" s="34"/>
      <c r="U588" s="34"/>
      <c r="V588" s="34"/>
      <c r="W588" s="34"/>
      <c r="X588" s="34"/>
      <c r="Y588" s="34"/>
      <c r="Z588" s="34"/>
      <c r="AA588" s="34"/>
      <c r="AB588" s="34"/>
      <c r="AC588" s="34"/>
      <c r="AD588" s="34"/>
      <c r="AE588" s="34"/>
    </row>
    <row r="589" spans="4:31" ht="11.25">
      <c r="D589" s="34"/>
      <c r="E589" s="34"/>
      <c r="F589" s="34"/>
      <c r="G589" s="34"/>
      <c r="H589" s="34"/>
      <c r="I589" s="34"/>
      <c r="J589" s="34"/>
      <c r="K589" s="34"/>
      <c r="L589" s="34"/>
      <c r="M589" s="34"/>
      <c r="N589" s="34"/>
      <c r="O589" s="34"/>
      <c r="P589" s="34"/>
      <c r="Q589" s="34"/>
      <c r="R589" s="34"/>
      <c r="S589" s="34"/>
      <c r="T589" s="34"/>
      <c r="U589" s="34"/>
      <c r="V589" s="34"/>
      <c r="W589" s="34"/>
      <c r="X589" s="34"/>
      <c r="Y589" s="34"/>
      <c r="Z589" s="34"/>
      <c r="AA589" s="34"/>
      <c r="AB589" s="34"/>
      <c r="AC589" s="34"/>
      <c r="AD589" s="34"/>
      <c r="AE589" s="34"/>
    </row>
    <row r="590" spans="4:31" ht="11.25">
      <c r="D590" s="34"/>
      <c r="E590" s="34"/>
      <c r="F590" s="34"/>
      <c r="G590" s="34"/>
      <c r="H590" s="34"/>
      <c r="I590" s="34"/>
      <c r="J590" s="34"/>
      <c r="K590" s="34"/>
      <c r="L590" s="34"/>
      <c r="M590" s="34"/>
      <c r="N590" s="34"/>
      <c r="O590" s="34"/>
      <c r="P590" s="34"/>
      <c r="Q590" s="34"/>
      <c r="R590" s="34"/>
      <c r="S590" s="34"/>
      <c r="T590" s="34"/>
      <c r="U590" s="34"/>
      <c r="V590" s="34"/>
      <c r="W590" s="34"/>
      <c r="X590" s="34"/>
      <c r="Y590" s="34"/>
      <c r="Z590" s="34"/>
      <c r="AA590" s="34"/>
      <c r="AB590" s="34"/>
      <c r="AC590" s="34"/>
      <c r="AD590" s="34"/>
      <c r="AE590" s="34"/>
    </row>
    <row r="591" spans="4:31" ht="11.25">
      <c r="D591" s="34"/>
      <c r="E591" s="34"/>
      <c r="F591" s="34"/>
      <c r="G591" s="34"/>
      <c r="H591" s="34"/>
      <c r="I591" s="34"/>
      <c r="J591" s="34"/>
      <c r="K591" s="34"/>
      <c r="L591" s="34"/>
      <c r="M591" s="34"/>
      <c r="N591" s="34"/>
      <c r="O591" s="34"/>
      <c r="P591" s="34"/>
      <c r="Q591" s="34"/>
      <c r="R591" s="34"/>
      <c r="S591" s="34"/>
      <c r="T591" s="34"/>
      <c r="U591" s="34"/>
      <c r="V591" s="34"/>
      <c r="W591" s="34"/>
      <c r="X591" s="34"/>
      <c r="Y591" s="34"/>
      <c r="Z591" s="34"/>
      <c r="AA591" s="34"/>
      <c r="AB591" s="34"/>
      <c r="AC591" s="34"/>
      <c r="AD591" s="34"/>
      <c r="AE591" s="34"/>
    </row>
    <row r="592" spans="4:31" ht="11.25">
      <c r="D592" s="34"/>
      <c r="E592" s="34"/>
      <c r="F592" s="34"/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34"/>
      <c r="T592" s="34"/>
      <c r="U592" s="34"/>
      <c r="V592" s="34"/>
      <c r="W592" s="34"/>
      <c r="X592" s="34"/>
      <c r="Y592" s="34"/>
      <c r="Z592" s="34"/>
      <c r="AA592" s="34"/>
      <c r="AB592" s="34"/>
      <c r="AC592" s="34"/>
      <c r="AD592" s="34"/>
      <c r="AE592" s="34"/>
    </row>
    <row r="593" spans="4:31" ht="11.25">
      <c r="D593" s="34"/>
      <c r="E593" s="34"/>
      <c r="F593" s="34"/>
      <c r="G593" s="34"/>
      <c r="H593" s="34"/>
      <c r="I593" s="34"/>
      <c r="J593" s="34"/>
      <c r="K593" s="34"/>
      <c r="L593" s="34"/>
      <c r="M593" s="34"/>
      <c r="N593" s="34"/>
      <c r="O593" s="34"/>
      <c r="P593" s="34"/>
      <c r="Q593" s="34"/>
      <c r="R593" s="34"/>
      <c r="S593" s="34"/>
      <c r="T593" s="34"/>
      <c r="U593" s="34"/>
      <c r="V593" s="34"/>
      <c r="W593" s="34"/>
      <c r="X593" s="34"/>
      <c r="Y593" s="34"/>
      <c r="Z593" s="34"/>
      <c r="AA593" s="34"/>
      <c r="AB593" s="34"/>
      <c r="AC593" s="34"/>
      <c r="AD593" s="34"/>
      <c r="AE593" s="34"/>
    </row>
    <row r="594" spans="4:31" ht="11.25">
      <c r="D594" s="34"/>
      <c r="E594" s="34"/>
      <c r="F594" s="34"/>
      <c r="G594" s="34"/>
      <c r="H594" s="34"/>
      <c r="I594" s="34"/>
      <c r="J594" s="34"/>
      <c r="K594" s="34"/>
      <c r="L594" s="34"/>
      <c r="M594" s="34"/>
      <c r="N594" s="34"/>
      <c r="O594" s="34"/>
      <c r="P594" s="34"/>
      <c r="Q594" s="34"/>
      <c r="R594" s="34"/>
      <c r="S594" s="34"/>
      <c r="T594" s="34"/>
      <c r="U594" s="34"/>
      <c r="V594" s="34"/>
      <c r="W594" s="34"/>
      <c r="X594" s="34"/>
      <c r="Y594" s="34"/>
      <c r="Z594" s="34"/>
      <c r="AA594" s="34"/>
      <c r="AB594" s="34"/>
      <c r="AC594" s="34"/>
      <c r="AD594" s="34"/>
      <c r="AE594" s="34"/>
    </row>
    <row r="595" spans="4:31" ht="11.25">
      <c r="D595" s="34"/>
      <c r="E595" s="34"/>
      <c r="F595" s="34"/>
      <c r="G595" s="34"/>
      <c r="H595" s="34"/>
      <c r="I595" s="34"/>
      <c r="J595" s="34"/>
      <c r="K595" s="34"/>
      <c r="L595" s="34"/>
      <c r="M595" s="34"/>
      <c r="N595" s="34"/>
      <c r="O595" s="34"/>
      <c r="P595" s="34"/>
      <c r="Q595" s="34"/>
      <c r="R595" s="34"/>
      <c r="S595" s="34"/>
      <c r="T595" s="34"/>
      <c r="U595" s="34"/>
      <c r="V595" s="34"/>
      <c r="W595" s="34"/>
      <c r="X595" s="34"/>
      <c r="Y595" s="34"/>
      <c r="Z595" s="34"/>
      <c r="AA595" s="34"/>
      <c r="AB595" s="34"/>
      <c r="AC595" s="34"/>
      <c r="AD595" s="34"/>
      <c r="AE595" s="34"/>
    </row>
    <row r="596" spans="4:31" ht="11.25">
      <c r="D596" s="34"/>
      <c r="E596" s="34"/>
      <c r="F596" s="34"/>
      <c r="G596" s="34"/>
      <c r="H596" s="34"/>
      <c r="I596" s="34"/>
      <c r="J596" s="34"/>
      <c r="K596" s="34"/>
      <c r="L596" s="34"/>
      <c r="M596" s="34"/>
      <c r="N596" s="34"/>
      <c r="O596" s="34"/>
      <c r="P596" s="34"/>
      <c r="Q596" s="34"/>
      <c r="R596" s="34"/>
      <c r="S596" s="34"/>
      <c r="T596" s="34"/>
      <c r="U596" s="34"/>
      <c r="V596" s="34"/>
      <c r="W596" s="34"/>
      <c r="X596" s="34"/>
      <c r="Y596" s="34"/>
      <c r="Z596" s="34"/>
      <c r="AA596" s="34"/>
      <c r="AB596" s="34"/>
      <c r="AC596" s="34"/>
      <c r="AD596" s="34"/>
      <c r="AE596" s="34"/>
    </row>
    <row r="597" spans="4:31" ht="11.25">
      <c r="D597" s="34"/>
      <c r="E597" s="34"/>
      <c r="F597" s="34"/>
      <c r="G597" s="34"/>
      <c r="H597" s="34"/>
      <c r="I597" s="34"/>
      <c r="J597" s="34"/>
      <c r="K597" s="34"/>
      <c r="L597" s="34"/>
      <c r="M597" s="34"/>
      <c r="N597" s="34"/>
      <c r="O597" s="34"/>
      <c r="P597" s="34"/>
      <c r="Q597" s="34"/>
      <c r="R597" s="34"/>
      <c r="S597" s="34"/>
      <c r="T597" s="34"/>
      <c r="U597" s="34"/>
      <c r="V597" s="34"/>
      <c r="W597" s="34"/>
      <c r="X597" s="34"/>
      <c r="Y597" s="34"/>
      <c r="Z597" s="34"/>
      <c r="AA597" s="34"/>
      <c r="AB597" s="34"/>
      <c r="AC597" s="34"/>
      <c r="AD597" s="34"/>
      <c r="AE597" s="34"/>
    </row>
    <row r="598" spans="4:31" ht="11.25">
      <c r="D598" s="34"/>
      <c r="E598" s="34"/>
      <c r="F598" s="34"/>
      <c r="G598" s="34"/>
      <c r="H598" s="34"/>
      <c r="I598" s="34"/>
      <c r="J598" s="34"/>
      <c r="K598" s="34"/>
      <c r="L598" s="34"/>
      <c r="M598" s="34"/>
      <c r="N598" s="34"/>
      <c r="O598" s="34"/>
      <c r="P598" s="34"/>
      <c r="Q598" s="34"/>
      <c r="R598" s="34"/>
      <c r="S598" s="34"/>
      <c r="T598" s="34"/>
      <c r="U598" s="34"/>
      <c r="V598" s="34"/>
      <c r="W598" s="34"/>
      <c r="X598" s="34"/>
      <c r="Y598" s="34"/>
      <c r="Z598" s="34"/>
      <c r="AA598" s="34"/>
      <c r="AB598" s="34"/>
      <c r="AC598" s="34"/>
      <c r="AD598" s="34"/>
      <c r="AE598" s="34"/>
    </row>
    <row r="599" spans="4:31" ht="11.25">
      <c r="D599" s="34"/>
      <c r="E599" s="34"/>
      <c r="F599" s="34"/>
      <c r="G599" s="34"/>
      <c r="H599" s="34"/>
      <c r="I599" s="34"/>
      <c r="J599" s="34"/>
      <c r="K599" s="34"/>
      <c r="L599" s="34"/>
      <c r="M599" s="34"/>
      <c r="N599" s="34"/>
      <c r="O599" s="34"/>
      <c r="P599" s="34"/>
      <c r="Q599" s="34"/>
      <c r="R599" s="34"/>
      <c r="S599" s="34"/>
      <c r="T599" s="34"/>
      <c r="U599" s="34"/>
      <c r="V599" s="34"/>
      <c r="W599" s="34"/>
      <c r="X599" s="34"/>
      <c r="Y599" s="34"/>
      <c r="Z599" s="34"/>
      <c r="AA599" s="34"/>
      <c r="AB599" s="34"/>
      <c r="AC599" s="34"/>
      <c r="AD599" s="34"/>
      <c r="AE599" s="34"/>
    </row>
    <row r="600" spans="4:31" ht="11.25">
      <c r="D600" s="34"/>
      <c r="E600" s="34"/>
      <c r="F600" s="34"/>
      <c r="G600" s="34"/>
      <c r="H600" s="34"/>
      <c r="I600" s="34"/>
      <c r="J600" s="34"/>
      <c r="K600" s="34"/>
      <c r="L600" s="34"/>
      <c r="M600" s="34"/>
      <c r="N600" s="34"/>
      <c r="O600" s="34"/>
      <c r="P600" s="34"/>
      <c r="Q600" s="34"/>
      <c r="R600" s="34"/>
      <c r="S600" s="34"/>
      <c r="T600" s="34"/>
      <c r="U600" s="34"/>
      <c r="V600" s="34"/>
      <c r="W600" s="34"/>
      <c r="X600" s="34"/>
      <c r="Y600" s="34"/>
      <c r="Z600" s="34"/>
      <c r="AA600" s="34"/>
      <c r="AB600" s="34"/>
      <c r="AC600" s="34"/>
      <c r="AD600" s="34"/>
      <c r="AE600" s="34"/>
    </row>
    <row r="601" spans="4:31" ht="11.25">
      <c r="D601" s="34"/>
      <c r="E601" s="34"/>
      <c r="F601" s="34"/>
      <c r="G601" s="34"/>
      <c r="H601" s="34"/>
      <c r="I601" s="34"/>
      <c r="J601" s="34"/>
      <c r="K601" s="34"/>
      <c r="L601" s="34"/>
      <c r="M601" s="34"/>
      <c r="N601" s="34"/>
      <c r="O601" s="34"/>
      <c r="P601" s="34"/>
      <c r="Q601" s="34"/>
      <c r="R601" s="34"/>
      <c r="S601" s="34"/>
      <c r="T601" s="34"/>
      <c r="U601" s="34"/>
      <c r="V601" s="34"/>
      <c r="W601" s="34"/>
      <c r="X601" s="34"/>
      <c r="Y601" s="34"/>
      <c r="Z601" s="34"/>
      <c r="AA601" s="34"/>
      <c r="AB601" s="34"/>
      <c r="AC601" s="34"/>
      <c r="AD601" s="34"/>
      <c r="AE601" s="34"/>
    </row>
    <row r="602" spans="4:31" ht="11.25">
      <c r="D602" s="34"/>
      <c r="E602" s="34"/>
      <c r="F602" s="34"/>
      <c r="G602" s="34"/>
      <c r="H602" s="34"/>
      <c r="I602" s="34"/>
      <c r="J602" s="34"/>
      <c r="K602" s="34"/>
      <c r="L602" s="34"/>
      <c r="M602" s="34"/>
      <c r="N602" s="34"/>
      <c r="O602" s="34"/>
      <c r="P602" s="34"/>
      <c r="Q602" s="34"/>
      <c r="R602" s="34"/>
      <c r="S602" s="34"/>
      <c r="T602" s="34"/>
      <c r="U602" s="34"/>
      <c r="V602" s="34"/>
      <c r="W602" s="34"/>
      <c r="X602" s="34"/>
      <c r="Y602" s="34"/>
      <c r="Z602" s="34"/>
      <c r="AA602" s="34"/>
      <c r="AB602" s="34"/>
      <c r="AC602" s="34"/>
      <c r="AD602" s="34"/>
      <c r="AE602" s="34"/>
    </row>
    <row r="603" spans="4:31" ht="11.25">
      <c r="D603" s="34"/>
      <c r="E603" s="34"/>
      <c r="F603" s="34"/>
      <c r="G603" s="34"/>
      <c r="H603" s="34"/>
      <c r="I603" s="34"/>
      <c r="J603" s="34"/>
      <c r="K603" s="34"/>
      <c r="L603" s="34"/>
      <c r="M603" s="34"/>
      <c r="N603" s="34"/>
      <c r="O603" s="34"/>
      <c r="P603" s="34"/>
      <c r="Q603" s="34"/>
      <c r="R603" s="34"/>
      <c r="S603" s="34"/>
      <c r="T603" s="34"/>
      <c r="U603" s="34"/>
      <c r="V603" s="34"/>
      <c r="W603" s="34"/>
      <c r="X603" s="34"/>
      <c r="Y603" s="34"/>
      <c r="Z603" s="34"/>
      <c r="AA603" s="34"/>
      <c r="AB603" s="34"/>
      <c r="AC603" s="34"/>
      <c r="AD603" s="34"/>
      <c r="AE603" s="34"/>
    </row>
    <row r="604" spans="4:31" ht="11.25">
      <c r="D604" s="34"/>
      <c r="E604" s="34"/>
      <c r="F604" s="34"/>
      <c r="G604" s="34"/>
      <c r="H604" s="34"/>
      <c r="I604" s="34"/>
      <c r="J604" s="34"/>
      <c r="K604" s="34"/>
      <c r="L604" s="34"/>
      <c r="M604" s="34"/>
      <c r="N604" s="34"/>
      <c r="O604" s="34"/>
      <c r="P604" s="34"/>
      <c r="Q604" s="34"/>
      <c r="R604" s="34"/>
      <c r="S604" s="34"/>
      <c r="T604" s="34"/>
      <c r="U604" s="34"/>
      <c r="V604" s="34"/>
      <c r="W604" s="34"/>
      <c r="X604" s="34"/>
      <c r="Y604" s="34"/>
      <c r="Z604" s="34"/>
      <c r="AA604" s="34"/>
      <c r="AB604" s="34"/>
      <c r="AC604" s="34"/>
      <c r="AD604" s="34"/>
      <c r="AE604" s="34"/>
    </row>
    <row r="605" spans="4:31" ht="11.25">
      <c r="D605" s="34"/>
      <c r="E605" s="34"/>
      <c r="F605" s="34"/>
      <c r="G605" s="34"/>
      <c r="H605" s="34"/>
      <c r="I605" s="34"/>
      <c r="J605" s="34"/>
      <c r="K605" s="34"/>
      <c r="L605" s="34"/>
      <c r="M605" s="34"/>
      <c r="N605" s="34"/>
      <c r="O605" s="34"/>
      <c r="P605" s="34"/>
      <c r="Q605" s="34"/>
      <c r="R605" s="34"/>
      <c r="S605" s="34"/>
      <c r="T605" s="34"/>
      <c r="U605" s="34"/>
      <c r="V605" s="34"/>
      <c r="W605" s="34"/>
      <c r="X605" s="34"/>
      <c r="Y605" s="34"/>
      <c r="Z605" s="34"/>
      <c r="AA605" s="34"/>
      <c r="AB605" s="34"/>
      <c r="AC605" s="34"/>
      <c r="AD605" s="34"/>
      <c r="AE605" s="34"/>
    </row>
    <row r="606" spans="4:31" ht="11.25">
      <c r="D606" s="34"/>
      <c r="E606" s="34"/>
      <c r="F606" s="34"/>
      <c r="G606" s="34"/>
      <c r="H606" s="34"/>
      <c r="I606" s="34"/>
      <c r="J606" s="34"/>
      <c r="K606" s="34"/>
      <c r="L606" s="34"/>
      <c r="M606" s="34"/>
      <c r="N606" s="34"/>
      <c r="O606" s="34"/>
      <c r="P606" s="34"/>
      <c r="Q606" s="34"/>
      <c r="R606" s="34"/>
      <c r="S606" s="34"/>
      <c r="T606" s="34"/>
      <c r="U606" s="34"/>
      <c r="V606" s="34"/>
      <c r="W606" s="34"/>
      <c r="X606" s="34"/>
      <c r="Y606" s="34"/>
      <c r="Z606" s="34"/>
      <c r="AA606" s="34"/>
      <c r="AB606" s="34"/>
      <c r="AC606" s="34"/>
      <c r="AD606" s="34"/>
      <c r="AE606" s="34"/>
    </row>
    <row r="607" spans="4:31" ht="11.25">
      <c r="D607" s="34"/>
      <c r="E607" s="34"/>
      <c r="F607" s="34"/>
      <c r="G607" s="34"/>
      <c r="H607" s="34"/>
      <c r="I607" s="34"/>
      <c r="J607" s="34"/>
      <c r="K607" s="34"/>
      <c r="L607" s="34"/>
      <c r="M607" s="34"/>
      <c r="N607" s="34"/>
      <c r="O607" s="34"/>
      <c r="P607" s="34"/>
      <c r="Q607" s="34"/>
      <c r="R607" s="34"/>
      <c r="S607" s="34"/>
      <c r="T607" s="34"/>
      <c r="U607" s="34"/>
      <c r="V607" s="34"/>
      <c r="W607" s="34"/>
      <c r="X607" s="34"/>
      <c r="Y607" s="34"/>
      <c r="Z607" s="34"/>
      <c r="AA607" s="34"/>
      <c r="AB607" s="34"/>
      <c r="AC607" s="34"/>
      <c r="AD607" s="34"/>
      <c r="AE607" s="34"/>
    </row>
    <row r="608" spans="4:31" ht="11.25">
      <c r="D608" s="34"/>
      <c r="E608" s="34"/>
      <c r="F608" s="34"/>
      <c r="G608" s="34"/>
      <c r="H608" s="34"/>
      <c r="I608" s="34"/>
      <c r="J608" s="34"/>
      <c r="K608" s="34"/>
      <c r="L608" s="34"/>
      <c r="M608" s="34"/>
      <c r="N608" s="34"/>
      <c r="O608" s="34"/>
      <c r="P608" s="34"/>
      <c r="Q608" s="34"/>
      <c r="R608" s="34"/>
      <c r="S608" s="34"/>
      <c r="T608" s="34"/>
      <c r="U608" s="34"/>
      <c r="V608" s="34"/>
      <c r="W608" s="34"/>
      <c r="X608" s="34"/>
      <c r="Y608" s="34"/>
      <c r="Z608" s="34"/>
      <c r="AA608" s="34"/>
      <c r="AB608" s="34"/>
      <c r="AC608" s="34"/>
      <c r="AD608" s="34"/>
      <c r="AE608" s="34"/>
    </row>
    <row r="609" spans="4:31" ht="11.25">
      <c r="D609" s="34"/>
      <c r="E609" s="34"/>
      <c r="F609" s="34"/>
      <c r="G609" s="34"/>
      <c r="H609" s="34"/>
      <c r="I609" s="34"/>
      <c r="J609" s="34"/>
      <c r="K609" s="34"/>
      <c r="L609" s="34"/>
      <c r="M609" s="34"/>
      <c r="N609" s="34"/>
      <c r="O609" s="34"/>
      <c r="P609" s="34"/>
      <c r="Q609" s="34"/>
      <c r="R609" s="34"/>
      <c r="S609" s="34"/>
      <c r="T609" s="34"/>
      <c r="U609" s="34"/>
      <c r="V609" s="34"/>
      <c r="W609" s="34"/>
      <c r="X609" s="34"/>
      <c r="Y609" s="34"/>
      <c r="Z609" s="34"/>
      <c r="AA609" s="34"/>
      <c r="AB609" s="34"/>
      <c r="AC609" s="34"/>
      <c r="AD609" s="34"/>
      <c r="AE609" s="34"/>
    </row>
    <row r="610" spans="4:31" ht="11.25">
      <c r="D610" s="34"/>
      <c r="E610" s="34"/>
      <c r="F610" s="34"/>
      <c r="G610" s="34"/>
      <c r="H610" s="34"/>
      <c r="I610" s="34"/>
      <c r="J610" s="34"/>
      <c r="K610" s="34"/>
      <c r="L610" s="34"/>
      <c r="M610" s="34"/>
      <c r="N610" s="34"/>
      <c r="O610" s="34"/>
      <c r="P610" s="34"/>
      <c r="Q610" s="34"/>
      <c r="R610" s="34"/>
      <c r="S610" s="34"/>
      <c r="T610" s="34"/>
      <c r="U610" s="34"/>
      <c r="V610" s="34"/>
      <c r="W610" s="34"/>
      <c r="X610" s="34"/>
      <c r="Y610" s="34"/>
      <c r="Z610" s="34"/>
      <c r="AA610" s="34"/>
      <c r="AB610" s="34"/>
      <c r="AC610" s="34"/>
      <c r="AD610" s="34"/>
      <c r="AE610" s="34"/>
    </row>
    <row r="611" spans="4:31" ht="11.25">
      <c r="D611" s="34"/>
      <c r="E611" s="34"/>
      <c r="F611" s="34"/>
      <c r="G611" s="34"/>
      <c r="H611" s="34"/>
      <c r="I611" s="34"/>
      <c r="J611" s="34"/>
      <c r="K611" s="34"/>
      <c r="L611" s="34"/>
      <c r="M611" s="34"/>
      <c r="N611" s="34"/>
      <c r="O611" s="34"/>
      <c r="P611" s="34"/>
      <c r="Q611" s="34"/>
      <c r="R611" s="34"/>
      <c r="S611" s="34"/>
      <c r="T611" s="34"/>
      <c r="U611" s="34"/>
      <c r="V611" s="34"/>
      <c r="W611" s="34"/>
      <c r="X611" s="34"/>
      <c r="Y611" s="34"/>
      <c r="Z611" s="34"/>
      <c r="AA611" s="34"/>
      <c r="AB611" s="34"/>
      <c r="AC611" s="34"/>
      <c r="AD611" s="34"/>
      <c r="AE611" s="34"/>
    </row>
    <row r="612" spans="4:31" ht="11.25">
      <c r="D612" s="34"/>
      <c r="E612" s="34"/>
      <c r="F612" s="34"/>
      <c r="G612" s="34"/>
      <c r="H612" s="34"/>
      <c r="I612" s="34"/>
      <c r="J612" s="34"/>
      <c r="K612" s="34"/>
      <c r="L612" s="34"/>
      <c r="M612" s="34"/>
      <c r="N612" s="34"/>
      <c r="O612" s="34"/>
      <c r="P612" s="34"/>
      <c r="Q612" s="34"/>
      <c r="R612" s="34"/>
      <c r="S612" s="34"/>
      <c r="T612" s="34"/>
      <c r="U612" s="34"/>
      <c r="V612" s="34"/>
      <c r="W612" s="34"/>
      <c r="X612" s="34"/>
      <c r="Y612" s="34"/>
      <c r="Z612" s="34"/>
      <c r="AA612" s="34"/>
      <c r="AB612" s="34"/>
      <c r="AC612" s="34"/>
      <c r="AD612" s="34"/>
      <c r="AE612" s="34"/>
    </row>
    <row r="613" spans="4:31" ht="11.25">
      <c r="D613" s="34"/>
      <c r="E613" s="34"/>
      <c r="F613" s="34"/>
      <c r="G613" s="34"/>
      <c r="H613" s="34"/>
      <c r="I613" s="34"/>
      <c r="J613" s="34"/>
      <c r="K613" s="34"/>
      <c r="L613" s="34"/>
      <c r="M613" s="34"/>
      <c r="N613" s="34"/>
      <c r="O613" s="34"/>
      <c r="P613" s="34"/>
      <c r="Q613" s="34"/>
      <c r="R613" s="34"/>
      <c r="S613" s="34"/>
      <c r="T613" s="34"/>
      <c r="U613" s="34"/>
      <c r="V613" s="34"/>
      <c r="W613" s="34"/>
      <c r="X613" s="34"/>
      <c r="Y613" s="34"/>
      <c r="Z613" s="34"/>
      <c r="AA613" s="34"/>
      <c r="AB613" s="34"/>
      <c r="AC613" s="34"/>
      <c r="AD613" s="34"/>
      <c r="AE613" s="34"/>
    </row>
    <row r="614" spans="4:31" ht="11.25">
      <c r="D614" s="34"/>
      <c r="E614" s="34"/>
      <c r="F614" s="34"/>
      <c r="G614" s="34"/>
      <c r="H614" s="34"/>
      <c r="I614" s="34"/>
      <c r="J614" s="34"/>
      <c r="K614" s="34"/>
      <c r="L614" s="34"/>
      <c r="M614" s="34"/>
      <c r="N614" s="34"/>
      <c r="O614" s="34"/>
      <c r="P614" s="34"/>
      <c r="Q614" s="34"/>
      <c r="R614" s="34"/>
      <c r="S614" s="34"/>
      <c r="T614" s="34"/>
      <c r="U614" s="34"/>
      <c r="V614" s="34"/>
      <c r="W614" s="34"/>
      <c r="X614" s="34"/>
      <c r="Y614" s="34"/>
      <c r="Z614" s="34"/>
      <c r="AA614" s="34"/>
      <c r="AB614" s="34"/>
      <c r="AC614" s="34"/>
      <c r="AD614" s="34"/>
      <c r="AE614" s="34"/>
    </row>
    <row r="615" spans="4:31" ht="11.25">
      <c r="D615" s="34"/>
      <c r="E615" s="34"/>
      <c r="F615" s="34"/>
      <c r="G615" s="34"/>
      <c r="H615" s="34"/>
      <c r="I615" s="34"/>
      <c r="J615" s="34"/>
      <c r="K615" s="34"/>
      <c r="L615" s="34"/>
      <c r="M615" s="34"/>
      <c r="N615" s="34"/>
      <c r="O615" s="34"/>
      <c r="P615" s="34"/>
      <c r="Q615" s="34"/>
      <c r="R615" s="34"/>
      <c r="S615" s="34"/>
      <c r="T615" s="34"/>
      <c r="U615" s="34"/>
      <c r="V615" s="34"/>
      <c r="W615" s="34"/>
      <c r="X615" s="34"/>
      <c r="Y615" s="34"/>
      <c r="Z615" s="34"/>
      <c r="AA615" s="34"/>
      <c r="AB615" s="34"/>
      <c r="AC615" s="34"/>
      <c r="AD615" s="34"/>
      <c r="AE615" s="34"/>
    </row>
    <row r="616" spans="4:31" ht="11.25">
      <c r="D616" s="34"/>
      <c r="E616" s="34"/>
      <c r="F616" s="34"/>
      <c r="G616" s="34"/>
      <c r="H616" s="34"/>
      <c r="I616" s="34"/>
      <c r="J616" s="34"/>
      <c r="K616" s="34"/>
      <c r="L616" s="34"/>
      <c r="M616" s="34"/>
      <c r="N616" s="34"/>
      <c r="O616" s="34"/>
      <c r="P616" s="34"/>
      <c r="Q616" s="34"/>
      <c r="R616" s="34"/>
      <c r="S616" s="34"/>
      <c r="T616" s="34"/>
      <c r="U616" s="34"/>
      <c r="V616" s="34"/>
      <c r="W616" s="34"/>
      <c r="X616" s="34"/>
      <c r="Y616" s="34"/>
      <c r="Z616" s="34"/>
      <c r="AA616" s="34"/>
      <c r="AB616" s="34"/>
      <c r="AC616" s="34"/>
      <c r="AD616" s="34"/>
      <c r="AE616" s="34"/>
    </row>
    <row r="617" spans="4:31" ht="11.25">
      <c r="D617" s="34"/>
      <c r="E617" s="34"/>
      <c r="F617" s="34"/>
      <c r="G617" s="34"/>
      <c r="H617" s="34"/>
      <c r="I617" s="34"/>
      <c r="J617" s="34"/>
      <c r="K617" s="34"/>
      <c r="L617" s="34"/>
      <c r="M617" s="34"/>
      <c r="N617" s="34"/>
      <c r="O617" s="34"/>
      <c r="P617" s="34"/>
      <c r="Q617" s="34"/>
      <c r="R617" s="34"/>
      <c r="S617" s="34"/>
      <c r="T617" s="34"/>
      <c r="U617" s="34"/>
      <c r="V617" s="34"/>
      <c r="W617" s="34"/>
      <c r="X617" s="34"/>
      <c r="Y617" s="34"/>
      <c r="Z617" s="34"/>
      <c r="AA617" s="34"/>
      <c r="AB617" s="34"/>
      <c r="AC617" s="34"/>
      <c r="AD617" s="34"/>
      <c r="AE617" s="34"/>
    </row>
    <row r="618" spans="4:31" ht="11.25">
      <c r="D618" s="34"/>
      <c r="E618" s="34"/>
      <c r="F618" s="34"/>
      <c r="G618" s="34"/>
      <c r="H618" s="34"/>
      <c r="I618" s="34"/>
      <c r="J618" s="34"/>
      <c r="K618" s="34"/>
      <c r="L618" s="34"/>
      <c r="M618" s="34"/>
      <c r="N618" s="34"/>
      <c r="O618" s="34"/>
      <c r="P618" s="34"/>
      <c r="Q618" s="34"/>
      <c r="R618" s="34"/>
      <c r="S618" s="34"/>
      <c r="T618" s="34"/>
      <c r="U618" s="34"/>
      <c r="V618" s="34"/>
      <c r="W618" s="34"/>
      <c r="X618" s="34"/>
      <c r="Y618" s="34"/>
      <c r="Z618" s="34"/>
      <c r="AA618" s="34"/>
      <c r="AB618" s="34"/>
      <c r="AC618" s="34"/>
      <c r="AD618" s="34"/>
      <c r="AE618" s="34"/>
    </row>
    <row r="619" spans="4:31" ht="11.25">
      <c r="D619" s="34"/>
      <c r="E619" s="34"/>
      <c r="F619" s="34"/>
      <c r="G619" s="34"/>
      <c r="H619" s="34"/>
      <c r="I619" s="34"/>
      <c r="J619" s="34"/>
      <c r="K619" s="34"/>
      <c r="L619" s="34"/>
      <c r="M619" s="34"/>
      <c r="N619" s="34"/>
      <c r="O619" s="34"/>
      <c r="P619" s="34"/>
      <c r="Q619" s="34"/>
      <c r="R619" s="34"/>
      <c r="S619" s="34"/>
      <c r="T619" s="34"/>
      <c r="U619" s="34"/>
      <c r="V619" s="34"/>
      <c r="W619" s="34"/>
      <c r="X619" s="34"/>
      <c r="Y619" s="34"/>
      <c r="Z619" s="34"/>
      <c r="AA619" s="34"/>
      <c r="AB619" s="34"/>
      <c r="AC619" s="34"/>
      <c r="AD619" s="34"/>
      <c r="AE619" s="34"/>
    </row>
    <row r="620" spans="4:31" ht="11.25">
      <c r="D620" s="34"/>
      <c r="E620" s="34"/>
      <c r="F620" s="34"/>
      <c r="G620" s="34"/>
      <c r="H620" s="34"/>
      <c r="I620" s="34"/>
      <c r="J620" s="34"/>
      <c r="K620" s="34"/>
      <c r="L620" s="34"/>
      <c r="M620" s="34"/>
      <c r="N620" s="34"/>
      <c r="O620" s="34"/>
      <c r="P620" s="34"/>
      <c r="Q620" s="34"/>
      <c r="R620" s="34"/>
      <c r="S620" s="34"/>
      <c r="T620" s="34"/>
      <c r="U620" s="34"/>
      <c r="V620" s="34"/>
      <c r="W620" s="34"/>
      <c r="X620" s="34"/>
      <c r="Y620" s="34"/>
      <c r="Z620" s="34"/>
      <c r="AA620" s="34"/>
      <c r="AB620" s="34"/>
      <c r="AC620" s="34"/>
      <c r="AD620" s="34"/>
      <c r="AE620" s="34"/>
    </row>
    <row r="621" spans="4:31" ht="11.25">
      <c r="D621" s="34"/>
      <c r="E621" s="34"/>
      <c r="F621" s="34"/>
      <c r="G621" s="34"/>
      <c r="H621" s="34"/>
      <c r="I621" s="34"/>
      <c r="J621" s="34"/>
      <c r="K621" s="34"/>
      <c r="L621" s="34"/>
      <c r="M621" s="34"/>
      <c r="N621" s="34"/>
      <c r="O621" s="34"/>
      <c r="P621" s="34"/>
      <c r="Q621" s="34"/>
      <c r="R621" s="34"/>
      <c r="S621" s="34"/>
      <c r="T621" s="34"/>
      <c r="U621" s="34"/>
      <c r="V621" s="34"/>
      <c r="W621" s="34"/>
      <c r="X621" s="34"/>
      <c r="Y621" s="34"/>
      <c r="Z621" s="34"/>
      <c r="AA621" s="34"/>
      <c r="AB621" s="34"/>
      <c r="AC621" s="34"/>
      <c r="AD621" s="34"/>
      <c r="AE621" s="34"/>
    </row>
    <row r="622" spans="4:31" ht="11.25">
      <c r="D622" s="34"/>
      <c r="E622" s="34"/>
      <c r="F622" s="34"/>
      <c r="G622" s="34"/>
      <c r="H622" s="34"/>
      <c r="I622" s="34"/>
      <c r="J622" s="34"/>
      <c r="K622" s="34"/>
      <c r="L622" s="34"/>
      <c r="M622" s="34"/>
      <c r="N622" s="34"/>
      <c r="O622" s="34"/>
      <c r="P622" s="34"/>
      <c r="Q622" s="34"/>
      <c r="R622" s="34"/>
      <c r="S622" s="34"/>
      <c r="T622" s="34"/>
      <c r="U622" s="34"/>
      <c r="V622" s="34"/>
      <c r="W622" s="34"/>
      <c r="X622" s="34"/>
      <c r="Y622" s="34"/>
      <c r="Z622" s="34"/>
      <c r="AA622" s="34"/>
      <c r="AB622" s="34"/>
      <c r="AC622" s="34"/>
      <c r="AD622" s="34"/>
      <c r="AE622" s="34"/>
    </row>
    <row r="623" spans="4:31" ht="11.25">
      <c r="D623" s="34"/>
      <c r="E623" s="34"/>
      <c r="F623" s="34"/>
      <c r="G623" s="34"/>
      <c r="H623" s="34"/>
      <c r="I623" s="34"/>
      <c r="J623" s="34"/>
      <c r="K623" s="34"/>
      <c r="L623" s="34"/>
      <c r="M623" s="34"/>
      <c r="N623" s="34"/>
      <c r="O623" s="34"/>
      <c r="P623" s="34"/>
      <c r="Q623" s="34"/>
      <c r="R623" s="34"/>
      <c r="S623" s="34"/>
      <c r="T623" s="34"/>
      <c r="U623" s="34"/>
      <c r="V623" s="34"/>
      <c r="W623" s="34"/>
      <c r="X623" s="34"/>
      <c r="Y623" s="34"/>
      <c r="Z623" s="34"/>
      <c r="AA623" s="34"/>
      <c r="AB623" s="34"/>
      <c r="AC623" s="34"/>
      <c r="AD623" s="34"/>
      <c r="AE623" s="34"/>
    </row>
    <row r="624" spans="4:31" ht="11.25">
      <c r="D624" s="34"/>
      <c r="E624" s="34"/>
      <c r="F624" s="34"/>
      <c r="G624" s="34"/>
      <c r="H624" s="34"/>
      <c r="I624" s="34"/>
      <c r="J624" s="34"/>
      <c r="K624" s="34"/>
      <c r="L624" s="34"/>
      <c r="M624" s="34"/>
      <c r="N624" s="34"/>
      <c r="O624" s="34"/>
      <c r="P624" s="34"/>
      <c r="Q624" s="34"/>
      <c r="R624" s="34"/>
      <c r="S624" s="34"/>
      <c r="T624" s="34"/>
      <c r="U624" s="34"/>
      <c r="V624" s="34"/>
      <c r="W624" s="34"/>
      <c r="X624" s="34"/>
      <c r="Y624" s="34"/>
      <c r="Z624" s="34"/>
      <c r="AA624" s="34"/>
      <c r="AB624" s="34"/>
      <c r="AC624" s="34"/>
      <c r="AD624" s="34"/>
      <c r="AE624" s="34"/>
    </row>
    <row r="625" spans="4:31" ht="11.25">
      <c r="D625" s="34"/>
      <c r="E625" s="34"/>
      <c r="F625" s="34"/>
      <c r="G625" s="34"/>
      <c r="H625" s="34"/>
      <c r="I625" s="34"/>
      <c r="J625" s="34"/>
      <c r="K625" s="34"/>
      <c r="L625" s="34"/>
      <c r="M625" s="34"/>
      <c r="N625" s="34"/>
      <c r="O625" s="34"/>
      <c r="P625" s="34"/>
      <c r="Q625" s="34"/>
      <c r="R625" s="34"/>
      <c r="S625" s="34"/>
      <c r="T625" s="34"/>
      <c r="U625" s="34"/>
      <c r="V625" s="34"/>
      <c r="W625" s="34"/>
      <c r="X625" s="34"/>
      <c r="Y625" s="34"/>
      <c r="Z625" s="34"/>
      <c r="AA625" s="34"/>
      <c r="AB625" s="34"/>
      <c r="AC625" s="34"/>
      <c r="AD625" s="34"/>
      <c r="AE625" s="34"/>
    </row>
    <row r="626" spans="4:31" ht="11.25">
      <c r="D626" s="34"/>
      <c r="E626" s="34"/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4"/>
      <c r="X626" s="34"/>
      <c r="Y626" s="34"/>
      <c r="Z626" s="34"/>
      <c r="AA626" s="34"/>
      <c r="AB626" s="34"/>
      <c r="AC626" s="34"/>
      <c r="AD626" s="34"/>
      <c r="AE626" s="34"/>
    </row>
    <row r="627" spans="4:31" ht="11.25">
      <c r="D627" s="34"/>
      <c r="E627" s="34"/>
      <c r="F627" s="34"/>
      <c r="G627" s="34"/>
      <c r="H627" s="34"/>
      <c r="I627" s="34"/>
      <c r="J627" s="34"/>
      <c r="K627" s="34"/>
      <c r="L627" s="34"/>
      <c r="M627" s="34"/>
      <c r="N627" s="34"/>
      <c r="O627" s="34"/>
      <c r="P627" s="34"/>
      <c r="Q627" s="34"/>
      <c r="R627" s="34"/>
      <c r="S627" s="34"/>
      <c r="T627" s="34"/>
      <c r="U627" s="34"/>
      <c r="V627" s="34"/>
      <c r="W627" s="34"/>
      <c r="X627" s="34"/>
      <c r="Y627" s="34"/>
      <c r="Z627" s="34"/>
      <c r="AA627" s="34"/>
      <c r="AB627" s="34"/>
      <c r="AC627" s="34"/>
      <c r="AD627" s="34"/>
      <c r="AE627" s="34"/>
    </row>
    <row r="628" spans="4:31" ht="11.25">
      <c r="D628" s="34"/>
      <c r="E628" s="34"/>
      <c r="F628" s="34"/>
      <c r="G628" s="34"/>
      <c r="H628" s="34"/>
      <c r="I628" s="34"/>
      <c r="J628" s="34"/>
      <c r="K628" s="34"/>
      <c r="L628" s="34"/>
      <c r="M628" s="34"/>
      <c r="N628" s="34"/>
      <c r="O628" s="34"/>
      <c r="P628" s="34"/>
      <c r="Q628" s="34"/>
      <c r="R628" s="34"/>
      <c r="S628" s="34"/>
      <c r="T628" s="34"/>
      <c r="U628" s="34"/>
      <c r="V628" s="34"/>
      <c r="W628" s="34"/>
      <c r="X628" s="34"/>
      <c r="Y628" s="34"/>
      <c r="Z628" s="34"/>
      <c r="AA628" s="34"/>
      <c r="AB628" s="34"/>
      <c r="AC628" s="34"/>
      <c r="AD628" s="34"/>
      <c r="AE628" s="34"/>
    </row>
    <row r="629" spans="4:31" ht="11.25">
      <c r="D629" s="34"/>
      <c r="E629" s="34"/>
      <c r="F629" s="34"/>
      <c r="G629" s="34"/>
      <c r="H629" s="34"/>
      <c r="I629" s="34"/>
      <c r="J629" s="34"/>
      <c r="K629" s="34"/>
      <c r="L629" s="34"/>
      <c r="M629" s="34"/>
      <c r="N629" s="34"/>
      <c r="O629" s="34"/>
      <c r="P629" s="34"/>
      <c r="Q629" s="34"/>
      <c r="R629" s="34"/>
      <c r="S629" s="34"/>
      <c r="T629" s="34"/>
      <c r="U629" s="34"/>
      <c r="V629" s="34"/>
      <c r="W629" s="34"/>
      <c r="X629" s="34"/>
      <c r="Y629" s="34"/>
      <c r="Z629" s="34"/>
      <c r="AA629" s="34"/>
      <c r="AB629" s="34"/>
      <c r="AC629" s="34"/>
      <c r="AD629" s="34"/>
      <c r="AE629" s="34"/>
    </row>
    <row r="630" spans="4:31" ht="11.25">
      <c r="D630" s="34"/>
      <c r="E630" s="34"/>
      <c r="F630" s="34"/>
      <c r="G630" s="34"/>
      <c r="H630" s="34"/>
      <c r="I630" s="34"/>
      <c r="J630" s="34"/>
      <c r="K630" s="34"/>
      <c r="L630" s="34"/>
      <c r="M630" s="34"/>
      <c r="N630" s="34"/>
      <c r="O630" s="34"/>
      <c r="P630" s="34"/>
      <c r="Q630" s="34"/>
      <c r="R630" s="34"/>
      <c r="S630" s="34"/>
      <c r="T630" s="34"/>
      <c r="U630" s="34"/>
      <c r="V630" s="34"/>
      <c r="W630" s="34"/>
      <c r="X630" s="34"/>
      <c r="Y630" s="34"/>
      <c r="Z630" s="34"/>
      <c r="AA630" s="34"/>
      <c r="AB630" s="34"/>
      <c r="AC630" s="34"/>
      <c r="AD630" s="34"/>
      <c r="AE630" s="34"/>
    </row>
    <row r="631" spans="4:31" ht="11.25">
      <c r="D631" s="34"/>
      <c r="E631" s="34"/>
      <c r="F631" s="34"/>
      <c r="G631" s="34"/>
      <c r="H631" s="34"/>
      <c r="I631" s="34"/>
      <c r="J631" s="34"/>
      <c r="K631" s="34"/>
      <c r="L631" s="34"/>
      <c r="M631" s="34"/>
      <c r="N631" s="34"/>
      <c r="O631" s="34"/>
      <c r="P631" s="34"/>
      <c r="Q631" s="34"/>
      <c r="R631" s="34"/>
      <c r="S631" s="34"/>
      <c r="T631" s="34"/>
      <c r="U631" s="34"/>
      <c r="V631" s="34"/>
      <c r="W631" s="34"/>
      <c r="X631" s="34"/>
      <c r="Y631" s="34"/>
      <c r="Z631" s="34"/>
      <c r="AA631" s="34"/>
      <c r="AB631" s="34"/>
      <c r="AC631" s="34"/>
      <c r="AD631" s="34"/>
      <c r="AE631" s="34"/>
    </row>
    <row r="632" spans="4:31" ht="11.25">
      <c r="D632" s="34"/>
      <c r="E632" s="34"/>
      <c r="F632" s="34"/>
      <c r="G632" s="34"/>
      <c r="H632" s="34"/>
      <c r="I632" s="34"/>
      <c r="J632" s="34"/>
      <c r="K632" s="34"/>
      <c r="L632" s="34"/>
      <c r="M632" s="34"/>
      <c r="N632" s="34"/>
      <c r="O632" s="34"/>
      <c r="P632" s="34"/>
      <c r="Q632" s="34"/>
      <c r="R632" s="34"/>
      <c r="S632" s="34"/>
      <c r="T632" s="34"/>
      <c r="U632" s="34"/>
      <c r="V632" s="34"/>
      <c r="W632" s="34"/>
      <c r="X632" s="34"/>
      <c r="Y632" s="34"/>
      <c r="Z632" s="34"/>
      <c r="AA632" s="34"/>
      <c r="AB632" s="34"/>
      <c r="AC632" s="34"/>
      <c r="AD632" s="34"/>
      <c r="AE632" s="34"/>
    </row>
    <row r="633" spans="4:31" ht="11.25">
      <c r="D633" s="34"/>
      <c r="E633" s="34"/>
      <c r="F633" s="34"/>
      <c r="G633" s="34"/>
      <c r="H633" s="34"/>
      <c r="I633" s="34"/>
      <c r="J633" s="34"/>
      <c r="K633" s="34"/>
      <c r="L633" s="34"/>
      <c r="M633" s="34"/>
      <c r="N633" s="34"/>
      <c r="O633" s="34"/>
      <c r="P633" s="34"/>
      <c r="Q633" s="34"/>
      <c r="R633" s="34"/>
      <c r="S633" s="34"/>
      <c r="T633" s="34"/>
      <c r="U633" s="34"/>
      <c r="V633" s="34"/>
      <c r="W633" s="34"/>
      <c r="X633" s="34"/>
      <c r="Y633" s="34"/>
      <c r="Z633" s="34"/>
      <c r="AA633" s="34"/>
      <c r="AB633" s="34"/>
      <c r="AC633" s="34"/>
      <c r="AD633" s="34"/>
      <c r="AE633" s="34"/>
    </row>
    <row r="634" spans="4:31" ht="11.25">
      <c r="D634" s="34"/>
      <c r="E634" s="34"/>
      <c r="F634" s="34"/>
      <c r="G634" s="34"/>
      <c r="H634" s="34"/>
      <c r="I634" s="34"/>
      <c r="J634" s="34"/>
      <c r="K634" s="34"/>
      <c r="L634" s="34"/>
      <c r="M634" s="34"/>
      <c r="N634" s="34"/>
      <c r="O634" s="34"/>
      <c r="P634" s="34"/>
      <c r="Q634" s="34"/>
      <c r="R634" s="34"/>
      <c r="S634" s="34"/>
      <c r="T634" s="34"/>
      <c r="U634" s="34"/>
      <c r="V634" s="34"/>
      <c r="W634" s="34"/>
      <c r="X634" s="34"/>
      <c r="Y634" s="34"/>
      <c r="Z634" s="34"/>
      <c r="AA634" s="34"/>
      <c r="AB634" s="34"/>
      <c r="AC634" s="34"/>
      <c r="AD634" s="34"/>
      <c r="AE634" s="34"/>
    </row>
    <row r="635" spans="4:31" ht="11.25">
      <c r="D635" s="34"/>
      <c r="E635" s="34"/>
      <c r="F635" s="34"/>
      <c r="G635" s="34"/>
      <c r="H635" s="34"/>
      <c r="I635" s="34"/>
      <c r="J635" s="34"/>
      <c r="K635" s="34"/>
      <c r="L635" s="34"/>
      <c r="M635" s="34"/>
      <c r="N635" s="34"/>
      <c r="O635" s="34"/>
      <c r="P635" s="34"/>
      <c r="Q635" s="34"/>
      <c r="R635" s="34"/>
      <c r="S635" s="34"/>
      <c r="T635" s="34"/>
      <c r="U635" s="34"/>
      <c r="V635" s="34"/>
      <c r="W635" s="34"/>
      <c r="X635" s="34"/>
      <c r="Y635" s="34"/>
      <c r="Z635" s="34"/>
      <c r="AA635" s="34"/>
      <c r="AB635" s="34"/>
      <c r="AC635" s="34"/>
      <c r="AD635" s="34"/>
      <c r="AE635" s="34"/>
    </row>
    <row r="636" spans="4:31" ht="11.25">
      <c r="D636" s="34"/>
      <c r="E636" s="34"/>
      <c r="F636" s="34"/>
      <c r="G636" s="34"/>
      <c r="H636" s="34"/>
      <c r="I636" s="34"/>
      <c r="J636" s="34"/>
      <c r="K636" s="34"/>
      <c r="L636" s="34"/>
      <c r="M636" s="34"/>
      <c r="N636" s="34"/>
      <c r="O636" s="34"/>
      <c r="P636" s="34"/>
      <c r="Q636" s="34"/>
      <c r="R636" s="34"/>
      <c r="S636" s="34"/>
      <c r="T636" s="34"/>
      <c r="U636" s="34"/>
      <c r="V636" s="34"/>
      <c r="W636" s="34"/>
      <c r="X636" s="34"/>
      <c r="Y636" s="34"/>
      <c r="Z636" s="34"/>
      <c r="AA636" s="34"/>
      <c r="AB636" s="34"/>
      <c r="AC636" s="34"/>
      <c r="AD636" s="34"/>
      <c r="AE636" s="34"/>
    </row>
  </sheetData>
  <sheetProtection/>
  <printOptions/>
  <pageMargins left="0.75" right="0.75" top="1" bottom="1" header="0.5" footer="0.5"/>
  <pageSetup horizontalDpi="300" verticalDpi="300" orientation="portrait" r:id="rId1"/>
  <headerFooter alignWithMargins="0">
    <oddHeader>&amp;C&amp;"Arial,Bold"&amp;14Personnel Projections&amp;10
</oddHeader>
  </headerFooter>
  <rowBreaks count="2" manualBreakCount="2">
    <brk id="27" max="255" man="1"/>
    <brk id="5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E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2" customWidth="1"/>
    <col min="2" max="2" width="29.00390625" style="2" customWidth="1"/>
    <col min="3" max="12" width="9.7109375" style="2" customWidth="1"/>
    <col min="13" max="13" width="11.00390625" style="2" customWidth="1"/>
    <col min="14" max="25" width="9.7109375" style="2" customWidth="1"/>
    <col min="26" max="26" width="9.7109375" style="14" customWidth="1"/>
    <col min="27" max="28" width="10.57421875" style="2" customWidth="1"/>
    <col min="29" max="29" width="12.140625" style="2" customWidth="1"/>
    <col min="30" max="16384" width="9.140625" style="2" customWidth="1"/>
  </cols>
  <sheetData>
    <row r="1" ht="15.75">
      <c r="A1" s="17" t="s">
        <v>282</v>
      </c>
    </row>
    <row r="3" spans="3:29" ht="15">
      <c r="C3" s="151" t="s">
        <v>189</v>
      </c>
      <c r="D3" s="150" t="s">
        <v>190</v>
      </c>
      <c r="E3" s="150" t="s">
        <v>191</v>
      </c>
      <c r="F3" s="150" t="s">
        <v>192</v>
      </c>
      <c r="G3" s="150" t="s">
        <v>210</v>
      </c>
      <c r="H3" s="150" t="s">
        <v>194</v>
      </c>
      <c r="I3" s="150" t="s">
        <v>195</v>
      </c>
      <c r="J3" s="150" t="s">
        <v>196</v>
      </c>
      <c r="K3" s="150" t="s">
        <v>197</v>
      </c>
      <c r="L3" s="150" t="s">
        <v>198</v>
      </c>
      <c r="M3" s="222" t="s">
        <v>164</v>
      </c>
      <c r="N3" s="149" t="s">
        <v>223</v>
      </c>
      <c r="O3" s="149" t="s">
        <v>224</v>
      </c>
      <c r="P3" s="150" t="s">
        <v>189</v>
      </c>
      <c r="Q3" s="150" t="s">
        <v>190</v>
      </c>
      <c r="R3" s="150" t="s">
        <v>191</v>
      </c>
      <c r="S3" s="150" t="s">
        <v>192</v>
      </c>
      <c r="T3" s="150" t="s">
        <v>210</v>
      </c>
      <c r="U3" s="150" t="s">
        <v>194</v>
      </c>
      <c r="V3" s="150" t="s">
        <v>195</v>
      </c>
      <c r="W3" s="150" t="s">
        <v>196</v>
      </c>
      <c r="X3" s="150" t="s">
        <v>197</v>
      </c>
      <c r="Y3" s="150" t="s">
        <v>198</v>
      </c>
      <c r="Z3" s="269" t="s">
        <v>165</v>
      </c>
      <c r="AA3" s="217" t="s">
        <v>166</v>
      </c>
      <c r="AB3" s="227" t="s">
        <v>167</v>
      </c>
      <c r="AC3" s="228" t="s">
        <v>168</v>
      </c>
    </row>
    <row r="4" spans="13:29" ht="12.75">
      <c r="M4" s="166"/>
      <c r="Z4" s="219"/>
      <c r="AA4" s="218"/>
      <c r="AB4" s="218"/>
      <c r="AC4" s="166"/>
    </row>
    <row r="5" spans="2:29" ht="12.75">
      <c r="B5" s="2" t="s">
        <v>149</v>
      </c>
      <c r="C5" s="14">
        <v>0</v>
      </c>
      <c r="D5" s="14">
        <f>C21</f>
        <v>1915856.6666666667</v>
      </c>
      <c r="E5" s="14">
        <f aca="true" t="shared" si="0" ref="E5:L5">D21</f>
        <v>1795373.0944444444</v>
      </c>
      <c r="F5" s="14">
        <f t="shared" si="0"/>
        <v>1671838.7162685185</v>
      </c>
      <c r="G5" s="14">
        <f t="shared" si="0"/>
        <v>1549698.4474622994</v>
      </c>
      <c r="H5" s="14">
        <f t="shared" si="0"/>
        <v>1391121.27820807</v>
      </c>
      <c r="I5" s="14">
        <f t="shared" si="0"/>
        <v>1233079.81367175</v>
      </c>
      <c r="J5" s="14">
        <f t="shared" si="0"/>
        <v>990458.2800278696</v>
      </c>
      <c r="K5" s="14">
        <f t="shared" si="0"/>
        <v>757732.3771612494</v>
      </c>
      <c r="L5" s="14">
        <f t="shared" si="0"/>
        <v>464347.7644565181</v>
      </c>
      <c r="M5" s="223">
        <f>C5</f>
        <v>0</v>
      </c>
      <c r="N5" s="215">
        <f>M21</f>
        <v>185515.84406394488</v>
      </c>
      <c r="O5" s="215">
        <f>N21</f>
        <v>1150043.7038040515</v>
      </c>
      <c r="P5" s="215">
        <f aca="true" t="shared" si="1" ref="P5:Y5">O21</f>
        <v>848216.6099770583</v>
      </c>
      <c r="Q5" s="215">
        <f t="shared" si="1"/>
        <v>542511.4709936867</v>
      </c>
      <c r="R5" s="215">
        <f t="shared" si="1"/>
        <v>353738.4901120095</v>
      </c>
      <c r="S5" s="215">
        <f t="shared" si="1"/>
        <v>102075.88759552955</v>
      </c>
      <c r="T5" s="215">
        <f t="shared" si="1"/>
        <v>133868.84740818877</v>
      </c>
      <c r="U5" s="215">
        <f t="shared" si="1"/>
        <v>26473.128820535727</v>
      </c>
      <c r="V5" s="215">
        <f t="shared" si="1"/>
        <v>46873.417368569935</v>
      </c>
      <c r="W5" s="215">
        <f t="shared" si="1"/>
        <v>33199.37306418422</v>
      </c>
      <c r="X5" s="215">
        <f t="shared" si="1"/>
        <v>76144.2053526245</v>
      </c>
      <c r="Y5" s="215">
        <f t="shared" si="1"/>
        <v>159218.94569487887</v>
      </c>
      <c r="Z5" s="219">
        <f>N5</f>
        <v>185515.84406394488</v>
      </c>
      <c r="AA5" s="219">
        <f>+Z21</f>
        <v>369606.67739727837</v>
      </c>
      <c r="AB5" s="219">
        <f>+AA21</f>
        <v>10566467.440414084</v>
      </c>
      <c r="AC5" s="223">
        <f>+AB21</f>
        <v>42987860.68148898</v>
      </c>
    </row>
    <row r="6" spans="3:29" ht="12.75">
      <c r="C6" s="14"/>
      <c r="D6" s="14"/>
      <c r="E6" s="14"/>
      <c r="F6" s="14"/>
      <c r="G6" s="14"/>
      <c r="H6" s="14"/>
      <c r="I6" s="14"/>
      <c r="J6" s="14"/>
      <c r="K6" s="14"/>
      <c r="L6" s="14"/>
      <c r="M6" s="223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219"/>
      <c r="AA6" s="219"/>
      <c r="AB6" s="219"/>
      <c r="AC6" s="223"/>
    </row>
    <row r="7" spans="2:29" ht="12.75">
      <c r="B7" s="2" t="s">
        <v>258</v>
      </c>
      <c r="C7" s="14">
        <f>'P&amp;LFig9.4'!D46</f>
        <v>-323936.6666666666</v>
      </c>
      <c r="D7" s="14">
        <f>'P&amp;LFig9.4'!E46</f>
        <v>-113470.00000000001</v>
      </c>
      <c r="E7" s="14">
        <f>'P&amp;LFig9.4'!F46</f>
        <v>-116320</v>
      </c>
      <c r="F7" s="14">
        <f>'P&amp;LFig9.4'!G46</f>
        <v>-114720</v>
      </c>
      <c r="G7" s="14">
        <f>'P&amp;LFig9.4'!H46</f>
        <v>-150953.33333333337</v>
      </c>
      <c r="H7" s="14">
        <f>'P&amp;LFig9.4'!I46</f>
        <v>-150153.33333333337</v>
      </c>
      <c r="I7" s="14">
        <f>'P&amp;LFig9.4'!J46</f>
        <v>-234470.00000000003</v>
      </c>
      <c r="J7" s="14">
        <f>'P&amp;LFig9.4'!K46</f>
        <v>-273220</v>
      </c>
      <c r="K7" s="14">
        <f>'P&amp;LFig9.4'!L46</f>
        <v>-252378.33333333337</v>
      </c>
      <c r="L7" s="14">
        <f>'P&amp;LFig9.4'!M46</f>
        <v>-237336.66666666672</v>
      </c>
      <c r="M7" s="223">
        <f>SUM(C7:L7)</f>
        <v>-1966958.3333333337</v>
      </c>
      <c r="N7" s="14">
        <f>'P&amp;LFig9.4'!O46</f>
        <v>-301652.1666666666</v>
      </c>
      <c r="O7" s="14">
        <f>'P&amp;LFig9.4'!P46</f>
        <v>-238502.16666666663</v>
      </c>
      <c r="P7" s="14">
        <f>'P&amp;LFig9.4'!Q46</f>
        <v>-177752.16666666663</v>
      </c>
      <c r="Q7" s="14">
        <f>'P&amp;LFig9.4'!R46</f>
        <v>-124435.5</v>
      </c>
      <c r="R7" s="14">
        <f>'P&amp;LFig9.4'!S46</f>
        <v>-122885.5</v>
      </c>
      <c r="S7" s="14">
        <f>'P&amp;LFig9.4'!T46</f>
        <v>-2135.5</v>
      </c>
      <c r="T7" s="14">
        <f>'P&amp;LFig9.4'!U46</f>
        <v>22747.833333333314</v>
      </c>
      <c r="U7" s="14">
        <f>'P&amp;LFig9.4'!V46</f>
        <v>86597.83333333331</v>
      </c>
      <c r="V7" s="14">
        <f>'P&amp;LFig9.4'!W46</f>
        <v>116614.5</v>
      </c>
      <c r="W7" s="14">
        <f>'P&amp;LFig9.4'!X46</f>
        <v>109131.16666666663</v>
      </c>
      <c r="X7" s="14">
        <f>'P&amp;LFig9.4'!Y46</f>
        <v>213314.5</v>
      </c>
      <c r="Y7" s="14">
        <f>'P&amp;LFig9.4'!Z46</f>
        <v>276364.5</v>
      </c>
      <c r="Z7" s="219">
        <f>SUM(N7:Y7)</f>
        <v>-142592.66666666663</v>
      </c>
      <c r="AA7" s="219">
        <f>'P&amp;LFig9.4'!AB46</f>
        <v>12180863.520920914</v>
      </c>
      <c r="AB7" s="219">
        <f>'P&amp;LFig9.4'!AC46</f>
        <v>37676485.92538534</v>
      </c>
      <c r="AC7" s="223">
        <f>'P&amp;LFig9.4'!AD46</f>
        <v>61900925.3312325</v>
      </c>
    </row>
    <row r="8" spans="2:29" ht="12.75">
      <c r="B8" s="2" t="s">
        <v>259</v>
      </c>
      <c r="C8" s="14">
        <v>0</v>
      </c>
      <c r="D8" s="14">
        <f>'P&amp;LFig9.4'!D8*-1</f>
        <v>0</v>
      </c>
      <c r="E8" s="14">
        <f>'P&amp;LFig9.4'!E8*-1</f>
        <v>0</v>
      </c>
      <c r="F8" s="14">
        <f>'P&amp;LFig9.4'!F8*-1</f>
        <v>0</v>
      </c>
      <c r="G8" s="14">
        <f>'P&amp;LFig9.4'!G8*-1</f>
        <v>0</v>
      </c>
      <c r="H8" s="14">
        <f>'P&amp;LFig9.4'!H8*-1</f>
        <v>0</v>
      </c>
      <c r="I8" s="14">
        <f>'P&amp;LFig9.4'!I8*-1</f>
        <v>0</v>
      </c>
      <c r="J8" s="14">
        <f>'P&amp;LFig9.4'!K8*-1</f>
        <v>-126000</v>
      </c>
      <c r="K8" s="14">
        <f>('P&amp;LFig9.4'!L8-'P&amp;LFig9.4'!K8)*-1</f>
        <v>-33750</v>
      </c>
      <c r="L8" s="14">
        <f>('P&amp;LFig9.4'!M8-'P&amp;LFig9.4'!L8)*-1</f>
        <v>-33750</v>
      </c>
      <c r="M8" s="223">
        <f>SUM(J8:L8)</f>
        <v>-193500</v>
      </c>
      <c r="N8" s="14">
        <f>('P&amp;LFig9.4'!O8-'P&amp;LFig9.4'!M8)*-1</f>
        <v>-159750</v>
      </c>
      <c r="O8" s="14">
        <f>('P&amp;LFig9.4'!P8-'P&amp;LFig9.4'!O8)*-1</f>
        <v>-67500</v>
      </c>
      <c r="P8" s="14">
        <f>('P&amp;LFig9.4'!Q8-'P&amp;LFig9.4'!O8)*-1</f>
        <v>-135000</v>
      </c>
      <c r="Q8" s="14">
        <f>('P&amp;LFig9.4'!R8-'P&amp;LFig9.4'!Q8)*-1</f>
        <v>-67500</v>
      </c>
      <c r="R8" s="14">
        <f>('P&amp;LFig9.4'!S8-'P&amp;LFig9.4'!Q8)*-1</f>
        <v>-135000</v>
      </c>
      <c r="S8" s="14">
        <f>('P&amp;LFig9.4'!T8-'P&amp;LFig9.4'!S8)*-1</f>
        <v>-67500</v>
      </c>
      <c r="T8" s="14">
        <f>('P&amp;LFig9.4'!U8-'P&amp;LFig9.4'!S8)*-1</f>
        <v>-135000</v>
      </c>
      <c r="U8" s="14">
        <f>('P&amp;LFig9.4'!V8-'P&amp;LFig9.4'!U8)*-1</f>
        <v>-67500</v>
      </c>
      <c r="V8" s="14">
        <f>('P&amp;LFig9.4'!W8-'P&amp;LFig9.4'!U8)*-1</f>
        <v>-135000</v>
      </c>
      <c r="W8" s="14">
        <f>('P&amp;LFig9.4'!X8-'P&amp;LFig9.4'!W8)*-1</f>
        <v>-67500</v>
      </c>
      <c r="X8" s="14">
        <f>('P&amp;LFig9.4'!Y8-'P&amp;LFig9.4'!W8)*-1</f>
        <v>-135000</v>
      </c>
      <c r="Y8" s="14">
        <f>('P&amp;LFig9.4'!Z8-'P&amp;LFig9.4'!Y8)*-1</f>
        <v>-67500</v>
      </c>
      <c r="Z8" s="219">
        <f>SUM(N8:Y8)</f>
        <v>-1239750</v>
      </c>
      <c r="AA8" s="219">
        <f>'P&amp;LFig9.4'!AB8/12*-1</f>
        <v>-2879812.5</v>
      </c>
      <c r="AB8" s="219">
        <f>'P&amp;LFig9.4'!AC8/12*-1</f>
        <v>-7208050</v>
      </c>
      <c r="AC8" s="223">
        <f>'P&amp;LFig9.4'!AD8/12*-1</f>
        <v>-11406450</v>
      </c>
    </row>
    <row r="9" spans="2:29" ht="12.75">
      <c r="B9" s="2" t="s">
        <v>183</v>
      </c>
      <c r="C9" s="14">
        <f>'P&amp;LFig9.4'!D17</f>
        <v>0</v>
      </c>
      <c r="D9" s="14">
        <f>'P&amp;LFig9.4'!E17</f>
        <v>0</v>
      </c>
      <c r="E9" s="14">
        <f>'P&amp;LFig9.4'!F17</f>
        <v>0</v>
      </c>
      <c r="F9" s="14">
        <f>'P&amp;LFig9.4'!G17</f>
        <v>0</v>
      </c>
      <c r="G9" s="14">
        <f>'P&amp;LFig9.4'!H17</f>
        <v>0</v>
      </c>
      <c r="H9" s="14">
        <f>'P&amp;LFig9.4'!I17</f>
        <v>0</v>
      </c>
      <c r="I9" s="14">
        <f>'P&amp;LFig9.4'!J17</f>
        <v>0</v>
      </c>
      <c r="J9" s="14">
        <f>'P&amp;LFig9.4'!K17</f>
        <v>175050</v>
      </c>
      <c r="K9" s="14">
        <f>('P&amp;LFig9.4'!L17-'P&amp;LFig9.4'!K17)</f>
        <v>1687.5</v>
      </c>
      <c r="L9" s="14">
        <f>'P&amp;LFig9.4'!M17-'P&amp;LFig9.4'!L17</f>
        <v>1687.5</v>
      </c>
      <c r="M9" s="223">
        <f>SUM(J9:L9)</f>
        <v>178425</v>
      </c>
      <c r="N9" s="14">
        <f>('P&amp;LFig9.4'!O17-'P&amp;LFig9.4'!M17)</f>
        <v>176737.5</v>
      </c>
      <c r="O9" s="14">
        <f>('P&amp;LFig9.4'!P17-'P&amp;LFig9.4'!O17)</f>
        <v>3375</v>
      </c>
      <c r="P9" s="14">
        <f>('P&amp;LFig9.4'!Q17-'P&amp;LFig9.4'!O17)</f>
        <v>6750</v>
      </c>
      <c r="Q9" s="14">
        <f>('P&amp;LFig9.4'!R17-'P&amp;LFig9.4'!Q17)</f>
        <v>3375</v>
      </c>
      <c r="R9" s="14">
        <f>('P&amp;LFig9.4'!S17-'P&amp;LFig9.4'!Q17)</f>
        <v>6750</v>
      </c>
      <c r="S9" s="14">
        <f>('P&amp;LFig9.4'!T17-'P&amp;LFig9.4'!S17)</f>
        <v>3375</v>
      </c>
      <c r="T9" s="14">
        <f>('P&amp;LFig9.4'!U17-'P&amp;LFig9.4'!S17)</f>
        <v>6750</v>
      </c>
      <c r="U9" s="14">
        <f>('P&amp;LFig9.4'!V17-'P&amp;LFig9.4'!U17)</f>
        <v>3375</v>
      </c>
      <c r="V9" s="14">
        <f>('P&amp;LFig9.4'!W17-'P&amp;LFig9.4'!U17)</f>
        <v>6750</v>
      </c>
      <c r="W9" s="14">
        <f>('P&amp;LFig9.4'!X17-'P&amp;LFig9.4'!W17)</f>
        <v>3375</v>
      </c>
      <c r="X9" s="14">
        <f>('P&amp;LFig9.4'!Y17-'P&amp;LFig9.4'!W17)</f>
        <v>6750</v>
      </c>
      <c r="Y9" s="14">
        <f>('P&amp;LFig9.4'!Z17-'P&amp;LFig9.4'!Y17)</f>
        <v>3375</v>
      </c>
      <c r="Z9" s="219">
        <f>SUM(N9:Y9)</f>
        <v>230737.5</v>
      </c>
      <c r="AA9" s="219">
        <f>'P&amp;LFig9.4'!AB17/12</f>
        <v>781490.625</v>
      </c>
      <c r="AB9" s="219">
        <f>'P&amp;LFig9.4'!AC17/12</f>
        <v>1630402.5</v>
      </c>
      <c r="AC9" s="223">
        <f>'P&amp;LFig9.4'!AD17/12</f>
        <v>2557822.5</v>
      </c>
    </row>
    <row r="10" spans="2:29" ht="12.75">
      <c r="B10" s="2" t="s">
        <v>209</v>
      </c>
      <c r="C10" s="14">
        <f>(C5*0.02)/12</f>
        <v>0</v>
      </c>
      <c r="D10" s="14">
        <f aca="true" t="shared" si="2" ref="D10:L10">(D5*0.02)/12</f>
        <v>3193.094444444445</v>
      </c>
      <c r="E10" s="14">
        <f t="shared" si="2"/>
        <v>2992.2884907407406</v>
      </c>
      <c r="F10" s="14">
        <f t="shared" si="2"/>
        <v>2786.3978604475305</v>
      </c>
      <c r="G10" s="14">
        <f t="shared" si="2"/>
        <v>2582.830745770499</v>
      </c>
      <c r="H10" s="14">
        <f t="shared" si="2"/>
        <v>2318.5354636801167</v>
      </c>
      <c r="I10" s="14">
        <f t="shared" si="2"/>
        <v>2055.13302278625</v>
      </c>
      <c r="J10" s="14">
        <f t="shared" si="2"/>
        <v>1650.7638000464494</v>
      </c>
      <c r="K10" s="14">
        <f t="shared" si="2"/>
        <v>1262.887295268749</v>
      </c>
      <c r="L10" s="14">
        <f t="shared" si="2"/>
        <v>773.9129407608635</v>
      </c>
      <c r="M10" s="223">
        <f>SUM(C10:L10)</f>
        <v>19615.844063945646</v>
      </c>
      <c r="N10" s="14">
        <f>(L21*0.02)/12</f>
        <v>309.1930734399092</v>
      </c>
      <c r="O10" s="14">
        <f>(N21*0.02)/12</f>
        <v>1916.7395063400857</v>
      </c>
      <c r="P10" s="14">
        <f aca="true" t="shared" si="3" ref="P10:Y10">(O21*0.02)/12</f>
        <v>1413.6943499617637</v>
      </c>
      <c r="Q10" s="14">
        <f t="shared" si="3"/>
        <v>904.1857849894778</v>
      </c>
      <c r="R10" s="14">
        <f t="shared" si="3"/>
        <v>589.5641501866825</v>
      </c>
      <c r="S10" s="14">
        <f t="shared" si="3"/>
        <v>170.1264793258826</v>
      </c>
      <c r="T10" s="14">
        <f t="shared" si="3"/>
        <v>223.11474568031463</v>
      </c>
      <c r="U10" s="14">
        <f t="shared" si="3"/>
        <v>44.121881367559546</v>
      </c>
      <c r="V10" s="14">
        <f t="shared" si="3"/>
        <v>78.1223622809499</v>
      </c>
      <c r="W10" s="14">
        <f t="shared" si="3"/>
        <v>55.33228844030703</v>
      </c>
      <c r="X10" s="14">
        <f t="shared" si="3"/>
        <v>126.90700892104083</v>
      </c>
      <c r="Y10" s="14">
        <f t="shared" si="3"/>
        <v>265.3649094914648</v>
      </c>
      <c r="Z10" s="219">
        <v>6096</v>
      </c>
      <c r="AA10" s="219">
        <f>AVERAGE(Z5+AA5)*0.02</f>
        <v>11102.450429224466</v>
      </c>
      <c r="AB10" s="219">
        <f>AVERAGE(AA5+AB5)*0.02</f>
        <v>218721.48235622726</v>
      </c>
      <c r="AC10" s="223">
        <f>AVERAGE(AB5+AC5)*0.02</f>
        <v>1071086.5624380615</v>
      </c>
    </row>
    <row r="11" spans="2:29" ht="12.75">
      <c r="B11" s="2" t="s">
        <v>257</v>
      </c>
      <c r="C11" s="14">
        <f>(C19*0.12)/12</f>
        <v>0</v>
      </c>
      <c r="D11" s="14">
        <f aca="true" t="shared" si="4" ref="D11:L11">(D19*0.12)/12</f>
        <v>0</v>
      </c>
      <c r="E11" s="14">
        <f t="shared" si="4"/>
        <v>0</v>
      </c>
      <c r="F11" s="14">
        <f t="shared" si="4"/>
        <v>0</v>
      </c>
      <c r="G11" s="14">
        <f t="shared" si="4"/>
        <v>0</v>
      </c>
      <c r="H11" s="14">
        <f t="shared" si="4"/>
        <v>0</v>
      </c>
      <c r="I11" s="14">
        <f t="shared" si="4"/>
        <v>0</v>
      </c>
      <c r="J11" s="14">
        <f t="shared" si="4"/>
        <v>0</v>
      </c>
      <c r="K11" s="14">
        <f t="shared" si="4"/>
        <v>0</v>
      </c>
      <c r="L11" s="14">
        <f t="shared" si="4"/>
        <v>0</v>
      </c>
      <c r="M11" s="223">
        <f>SUM(C11:L11)</f>
        <v>0</v>
      </c>
      <c r="N11" s="14">
        <f>(N19*0.12)/12</f>
        <v>0</v>
      </c>
      <c r="O11" s="14">
        <f>(O19*0.12)/12</f>
        <v>0</v>
      </c>
      <c r="P11" s="14">
        <f>(P19*0.12)/12</f>
        <v>0</v>
      </c>
      <c r="Q11" s="14">
        <f>(Q19*0.12)/12</f>
        <v>0</v>
      </c>
      <c r="R11" s="14">
        <f>(R19*0.12)/12</f>
        <v>0</v>
      </c>
      <c r="S11" s="14">
        <f>(($Z$19*0.12)/12)*-1</f>
        <v>-1000</v>
      </c>
      <c r="T11" s="14">
        <f aca="true" t="shared" si="5" ref="T11:Y11">(($Z$19*0.12)/12)*-1</f>
        <v>-1000</v>
      </c>
      <c r="U11" s="14">
        <f t="shared" si="5"/>
        <v>-1000</v>
      </c>
      <c r="V11" s="14">
        <f t="shared" si="5"/>
        <v>-1000</v>
      </c>
      <c r="W11" s="14">
        <f t="shared" si="5"/>
        <v>-1000</v>
      </c>
      <c r="X11" s="14">
        <f t="shared" si="5"/>
        <v>-1000</v>
      </c>
      <c r="Y11" s="14">
        <f t="shared" si="5"/>
        <v>-1000</v>
      </c>
      <c r="Z11" s="270">
        <f>SUM(N11:Y11)</f>
        <v>-7000</v>
      </c>
      <c r="AA11" s="219">
        <f>AA19*0.12*-1</f>
        <v>-12000</v>
      </c>
      <c r="AB11" s="219">
        <f>AB19*0.12*-1</f>
        <v>-12000</v>
      </c>
      <c r="AC11" s="223">
        <f>AC19*0.12*-1</f>
        <v>-12000</v>
      </c>
    </row>
    <row r="12" spans="2:29" ht="12.75">
      <c r="B12" s="2" t="s">
        <v>150</v>
      </c>
      <c r="C12" s="215">
        <f>$M12/10</f>
        <v>5103.333333333334</v>
      </c>
      <c r="D12" s="215">
        <f aca="true" t="shared" si="6" ref="D12:L13">$M12/10</f>
        <v>5103.333333333334</v>
      </c>
      <c r="E12" s="215">
        <f t="shared" si="6"/>
        <v>5103.333333333334</v>
      </c>
      <c r="F12" s="215">
        <f t="shared" si="6"/>
        <v>5103.333333333334</v>
      </c>
      <c r="G12" s="215">
        <f t="shared" si="6"/>
        <v>5103.333333333334</v>
      </c>
      <c r="H12" s="215">
        <f t="shared" si="6"/>
        <v>5103.333333333334</v>
      </c>
      <c r="I12" s="215">
        <f t="shared" si="6"/>
        <v>5103.333333333334</v>
      </c>
      <c r="J12" s="215">
        <f t="shared" si="6"/>
        <v>5103.333333333334</v>
      </c>
      <c r="K12" s="215">
        <f t="shared" si="6"/>
        <v>5103.333333333334</v>
      </c>
      <c r="L12" s="215">
        <f t="shared" si="6"/>
        <v>5103.333333333334</v>
      </c>
      <c r="M12" s="223">
        <f>'Cap Exp'!E97</f>
        <v>51033.333333333336</v>
      </c>
      <c r="N12" s="14">
        <f>$Z$12/12</f>
        <v>6937.5</v>
      </c>
      <c r="O12" s="14">
        <f aca="true" t="shared" si="7" ref="O12:Y12">$Z$12/12</f>
        <v>6937.5</v>
      </c>
      <c r="P12" s="14">
        <f t="shared" si="7"/>
        <v>6937.5</v>
      </c>
      <c r="Q12" s="14">
        <f t="shared" si="7"/>
        <v>6937.5</v>
      </c>
      <c r="R12" s="14">
        <f t="shared" si="7"/>
        <v>6937.5</v>
      </c>
      <c r="S12" s="14">
        <f t="shared" si="7"/>
        <v>6937.5</v>
      </c>
      <c r="T12" s="14">
        <f t="shared" si="7"/>
        <v>6937.5</v>
      </c>
      <c r="U12" s="14">
        <f t="shared" si="7"/>
        <v>6937.5</v>
      </c>
      <c r="V12" s="14">
        <f t="shared" si="7"/>
        <v>6937.5</v>
      </c>
      <c r="W12" s="14">
        <f t="shared" si="7"/>
        <v>6937.5</v>
      </c>
      <c r="X12" s="14">
        <f t="shared" si="7"/>
        <v>6937.5</v>
      </c>
      <c r="Y12" s="14">
        <f t="shared" si="7"/>
        <v>6937.5</v>
      </c>
      <c r="Z12" s="219">
        <f>'Cap Exp'!F97</f>
        <v>83250</v>
      </c>
      <c r="AA12" s="219">
        <f>'Cap Exp'!G97</f>
        <v>117266.66666666666</v>
      </c>
      <c r="AB12" s="219">
        <f>'Cap Exp'!H97</f>
        <v>91433.33333333333</v>
      </c>
      <c r="AC12" s="223">
        <f>'Cap Exp'!I97</f>
        <v>87750</v>
      </c>
    </row>
    <row r="13" spans="2:29" ht="13.5" thickBot="1">
      <c r="B13" s="2" t="s">
        <v>159</v>
      </c>
      <c r="C13" s="216">
        <f>$M13/10</f>
        <v>-15310</v>
      </c>
      <c r="D13" s="216">
        <f t="shared" si="6"/>
        <v>-15310</v>
      </c>
      <c r="E13" s="216">
        <f t="shared" si="6"/>
        <v>-15310</v>
      </c>
      <c r="F13" s="216">
        <f t="shared" si="6"/>
        <v>-15310</v>
      </c>
      <c r="G13" s="216">
        <f t="shared" si="6"/>
        <v>-15310</v>
      </c>
      <c r="H13" s="216">
        <f t="shared" si="6"/>
        <v>-15310</v>
      </c>
      <c r="I13" s="216">
        <f t="shared" si="6"/>
        <v>-15310</v>
      </c>
      <c r="J13" s="216">
        <f t="shared" si="6"/>
        <v>-15310</v>
      </c>
      <c r="K13" s="216">
        <f t="shared" si="6"/>
        <v>-15310</v>
      </c>
      <c r="L13" s="216">
        <f t="shared" si="6"/>
        <v>-15310</v>
      </c>
      <c r="M13" s="224">
        <f>'Cap Exp'!E86*-1</f>
        <v>-153100</v>
      </c>
      <c r="N13" s="115">
        <f>$Z$13/12</f>
        <v>-8054.166666666667</v>
      </c>
      <c r="O13" s="115">
        <f aca="true" t="shared" si="8" ref="O13:Y13">$Z$13/12</f>
        <v>-8054.166666666667</v>
      </c>
      <c r="P13" s="115">
        <f t="shared" si="8"/>
        <v>-8054.166666666667</v>
      </c>
      <c r="Q13" s="115">
        <f t="shared" si="8"/>
        <v>-8054.166666666667</v>
      </c>
      <c r="R13" s="115">
        <f t="shared" si="8"/>
        <v>-8054.166666666667</v>
      </c>
      <c r="S13" s="115">
        <f t="shared" si="8"/>
        <v>-8054.166666666667</v>
      </c>
      <c r="T13" s="115">
        <f t="shared" si="8"/>
        <v>-8054.166666666667</v>
      </c>
      <c r="U13" s="115">
        <f t="shared" si="8"/>
        <v>-8054.166666666667</v>
      </c>
      <c r="V13" s="115">
        <f t="shared" si="8"/>
        <v>-8054.166666666667</v>
      </c>
      <c r="W13" s="115">
        <f t="shared" si="8"/>
        <v>-8054.166666666667</v>
      </c>
      <c r="X13" s="115">
        <f t="shared" si="8"/>
        <v>-8054.166666666667</v>
      </c>
      <c r="Y13" s="115">
        <f t="shared" si="8"/>
        <v>-8054.166666666667</v>
      </c>
      <c r="Z13" s="220">
        <f>'Cap Exp'!F86*-1</f>
        <v>-96650</v>
      </c>
      <c r="AA13" s="220">
        <f>'Cap Exp'!G86*-1</f>
        <v>-102050</v>
      </c>
      <c r="AB13" s="220">
        <f>'Cap Exp'!H86*-1</f>
        <v>-75600</v>
      </c>
      <c r="AC13" s="224">
        <f>'Cap Exp'!I86*-1</f>
        <v>-85600</v>
      </c>
    </row>
    <row r="14" spans="2:29" ht="12.75">
      <c r="B14" s="2" t="s">
        <v>151</v>
      </c>
      <c r="C14" s="215">
        <f>SUM(C7:C13)</f>
        <v>-334143.3333333333</v>
      </c>
      <c r="D14" s="215">
        <f aca="true" t="shared" si="9" ref="D14:AC14">SUM(D7:D13)</f>
        <v>-120483.57222222224</v>
      </c>
      <c r="E14" s="215">
        <f t="shared" si="9"/>
        <v>-123534.37817592593</v>
      </c>
      <c r="F14" s="215">
        <f t="shared" si="9"/>
        <v>-122140.26880621914</v>
      </c>
      <c r="G14" s="215">
        <f t="shared" si="9"/>
        <v>-158577.16925422952</v>
      </c>
      <c r="H14" s="215">
        <f t="shared" si="9"/>
        <v>-158041.46453631992</v>
      </c>
      <c r="I14" s="215">
        <f t="shared" si="9"/>
        <v>-242621.53364388042</v>
      </c>
      <c r="J14" s="215">
        <f t="shared" si="9"/>
        <v>-232725.90286662022</v>
      </c>
      <c r="K14" s="215">
        <f t="shared" si="9"/>
        <v>-293384.6127047313</v>
      </c>
      <c r="L14" s="215">
        <f t="shared" si="9"/>
        <v>-278831.9203925726</v>
      </c>
      <c r="M14" s="223">
        <f t="shared" si="9"/>
        <v>-2064484.1559360551</v>
      </c>
      <c r="N14" s="215">
        <f t="shared" si="9"/>
        <v>-285472.1402598934</v>
      </c>
      <c r="O14" s="215">
        <f t="shared" si="9"/>
        <v>-301827.09382699325</v>
      </c>
      <c r="P14" s="215">
        <f t="shared" si="9"/>
        <v>-305705.13898337155</v>
      </c>
      <c r="Q14" s="215">
        <f t="shared" si="9"/>
        <v>-188772.98088167718</v>
      </c>
      <c r="R14" s="215">
        <f t="shared" si="9"/>
        <v>-251662.60251647996</v>
      </c>
      <c r="S14" s="215">
        <f t="shared" si="9"/>
        <v>-68207.04018734078</v>
      </c>
      <c r="T14" s="215">
        <f t="shared" si="9"/>
        <v>-107395.71858765304</v>
      </c>
      <c r="U14" s="215">
        <f t="shared" si="9"/>
        <v>20400.288548034205</v>
      </c>
      <c r="V14" s="215">
        <f t="shared" si="9"/>
        <v>-13674.044304385716</v>
      </c>
      <c r="W14" s="215">
        <f t="shared" si="9"/>
        <v>42944.83228844027</v>
      </c>
      <c r="X14" s="215">
        <f t="shared" si="9"/>
        <v>83074.74034225437</v>
      </c>
      <c r="Y14" s="215">
        <f t="shared" si="9"/>
        <v>210388.19824282482</v>
      </c>
      <c r="Z14" s="219">
        <f t="shared" si="9"/>
        <v>-1165909.1666666665</v>
      </c>
      <c r="AA14" s="219">
        <f t="shared" si="9"/>
        <v>10096860.763016805</v>
      </c>
      <c r="AB14" s="219">
        <f t="shared" si="9"/>
        <v>32321393.2410749</v>
      </c>
      <c r="AC14" s="223">
        <f t="shared" si="9"/>
        <v>54113534.39367057</v>
      </c>
    </row>
    <row r="15" spans="3:29" ht="12.75"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223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219"/>
      <c r="AA15" s="219"/>
      <c r="AB15" s="219"/>
      <c r="AC15" s="223"/>
    </row>
    <row r="16" spans="2:30" ht="12.75">
      <c r="B16" s="2" t="s">
        <v>152</v>
      </c>
      <c r="C16" s="14">
        <f>C5+C14</f>
        <v>-334143.3333333333</v>
      </c>
      <c r="D16" s="14">
        <f aca="true" t="shared" si="10" ref="D16:Y16">D5+D14</f>
        <v>1795373.0944444444</v>
      </c>
      <c r="E16" s="14">
        <f t="shared" si="10"/>
        <v>1671838.7162685185</v>
      </c>
      <c r="F16" s="14">
        <f t="shared" si="10"/>
        <v>1549698.4474622994</v>
      </c>
      <c r="G16" s="14">
        <f t="shared" si="10"/>
        <v>1391121.27820807</v>
      </c>
      <c r="H16" s="14">
        <f t="shared" si="10"/>
        <v>1233079.81367175</v>
      </c>
      <c r="I16" s="14">
        <f t="shared" si="10"/>
        <v>990458.2800278696</v>
      </c>
      <c r="J16" s="14">
        <f t="shared" si="10"/>
        <v>757732.3771612494</v>
      </c>
      <c r="K16" s="14">
        <f t="shared" si="10"/>
        <v>464347.7644565181</v>
      </c>
      <c r="L16" s="14">
        <f t="shared" si="10"/>
        <v>185515.84406394552</v>
      </c>
      <c r="M16" s="223">
        <f>M5+M14</f>
        <v>-2064484.1559360551</v>
      </c>
      <c r="N16" s="14">
        <f t="shared" si="10"/>
        <v>-99956.2961959485</v>
      </c>
      <c r="O16" s="14">
        <f t="shared" si="10"/>
        <v>848216.6099770583</v>
      </c>
      <c r="P16" s="14">
        <f t="shared" si="10"/>
        <v>542511.4709936867</v>
      </c>
      <c r="Q16" s="14">
        <f t="shared" si="10"/>
        <v>353738.4901120095</v>
      </c>
      <c r="R16" s="14">
        <f t="shared" si="10"/>
        <v>102075.88759552955</v>
      </c>
      <c r="S16" s="14">
        <f t="shared" si="10"/>
        <v>33868.84740818877</v>
      </c>
      <c r="T16" s="14">
        <f t="shared" si="10"/>
        <v>26473.128820535727</v>
      </c>
      <c r="U16" s="14">
        <f t="shared" si="10"/>
        <v>46873.417368569935</v>
      </c>
      <c r="V16" s="14">
        <f t="shared" si="10"/>
        <v>33199.37306418422</v>
      </c>
      <c r="W16" s="14">
        <f t="shared" si="10"/>
        <v>76144.2053526245</v>
      </c>
      <c r="X16" s="14">
        <f t="shared" si="10"/>
        <v>159218.94569487887</v>
      </c>
      <c r="Y16" s="14">
        <f t="shared" si="10"/>
        <v>369607.1439377037</v>
      </c>
      <c r="Z16" s="219">
        <f>Z5+Z14</f>
        <v>-980393.3226027216</v>
      </c>
      <c r="AA16" s="219">
        <f>AA5+AA14</f>
        <v>10466467.440414084</v>
      </c>
      <c r="AB16" s="219">
        <f>AB5+AB14</f>
        <v>42887860.68148898</v>
      </c>
      <c r="AC16" s="219">
        <f>AC5+AC14</f>
        <v>97101395.07515955</v>
      </c>
      <c r="AD16" s="218"/>
    </row>
    <row r="17" spans="3:29" ht="12.75"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223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219"/>
      <c r="AA17" s="219"/>
      <c r="AB17" s="219"/>
      <c r="AC17" s="223"/>
    </row>
    <row r="18" spans="2:29" ht="12.75">
      <c r="B18" s="2" t="s">
        <v>256</v>
      </c>
      <c r="C18" s="14">
        <v>2250000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223">
        <f>SUM(C18:L18)</f>
        <v>2250000</v>
      </c>
      <c r="N18" s="14">
        <v>1250000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219">
        <f>SUM(N18:Y18)</f>
        <v>1250000</v>
      </c>
      <c r="AA18" s="219">
        <v>0</v>
      </c>
      <c r="AB18" s="219">
        <v>0</v>
      </c>
      <c r="AC18" s="223">
        <v>0</v>
      </c>
    </row>
    <row r="19" spans="2:29" ht="12.75">
      <c r="B19" s="2" t="s">
        <v>255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226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100000</v>
      </c>
      <c r="T19" s="14"/>
      <c r="U19" s="14"/>
      <c r="V19" s="14"/>
      <c r="W19" s="14"/>
      <c r="X19" s="14"/>
      <c r="Y19" s="14"/>
      <c r="Z19" s="219">
        <v>100000</v>
      </c>
      <c r="AA19" s="219">
        <v>100000</v>
      </c>
      <c r="AB19" s="219">
        <v>100000</v>
      </c>
      <c r="AC19" s="223">
        <v>100000</v>
      </c>
    </row>
    <row r="20" spans="3:29" ht="12.75"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22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221"/>
      <c r="AA20" s="219"/>
      <c r="AB20" s="219"/>
      <c r="AC20" s="223"/>
    </row>
    <row r="21" spans="2:31" ht="12.75">
      <c r="B21" s="2" t="s">
        <v>153</v>
      </c>
      <c r="C21" s="14">
        <f>C16+C18+C19</f>
        <v>1915856.6666666667</v>
      </c>
      <c r="D21" s="14">
        <f aca="true" t="shared" si="11" ref="D21:Y21">D16+D18+D19</f>
        <v>1795373.0944444444</v>
      </c>
      <c r="E21" s="14">
        <f t="shared" si="11"/>
        <v>1671838.7162685185</v>
      </c>
      <c r="F21" s="14">
        <f t="shared" si="11"/>
        <v>1549698.4474622994</v>
      </c>
      <c r="G21" s="14">
        <f t="shared" si="11"/>
        <v>1391121.27820807</v>
      </c>
      <c r="H21" s="14">
        <f t="shared" si="11"/>
        <v>1233079.81367175</v>
      </c>
      <c r="I21" s="14">
        <f t="shared" si="11"/>
        <v>990458.2800278696</v>
      </c>
      <c r="J21" s="14">
        <f t="shared" si="11"/>
        <v>757732.3771612494</v>
      </c>
      <c r="K21" s="14">
        <f t="shared" si="11"/>
        <v>464347.7644565181</v>
      </c>
      <c r="L21" s="14">
        <f t="shared" si="11"/>
        <v>185515.84406394552</v>
      </c>
      <c r="M21" s="219">
        <f t="shared" si="11"/>
        <v>185515.84406394488</v>
      </c>
      <c r="N21" s="14">
        <f t="shared" si="11"/>
        <v>1150043.7038040515</v>
      </c>
      <c r="O21" s="14">
        <f t="shared" si="11"/>
        <v>848216.6099770583</v>
      </c>
      <c r="P21" s="14">
        <f t="shared" si="11"/>
        <v>542511.4709936867</v>
      </c>
      <c r="Q21" s="14">
        <f t="shared" si="11"/>
        <v>353738.4901120095</v>
      </c>
      <c r="R21" s="14">
        <f t="shared" si="11"/>
        <v>102075.88759552955</v>
      </c>
      <c r="S21" s="14">
        <f t="shared" si="11"/>
        <v>133868.84740818877</v>
      </c>
      <c r="T21" s="14">
        <f t="shared" si="11"/>
        <v>26473.128820535727</v>
      </c>
      <c r="U21" s="14">
        <f t="shared" si="11"/>
        <v>46873.417368569935</v>
      </c>
      <c r="V21" s="14">
        <f t="shared" si="11"/>
        <v>33199.37306418422</v>
      </c>
      <c r="W21" s="14">
        <f t="shared" si="11"/>
        <v>76144.2053526245</v>
      </c>
      <c r="X21" s="14">
        <f t="shared" si="11"/>
        <v>159218.94569487887</v>
      </c>
      <c r="Y21" s="14">
        <f t="shared" si="11"/>
        <v>369607.1439377037</v>
      </c>
      <c r="Z21" s="219">
        <f>Z16+Z18+Z19</f>
        <v>369606.67739727837</v>
      </c>
      <c r="AA21" s="219">
        <f>AA16+AA18+AA19</f>
        <v>10566467.440414084</v>
      </c>
      <c r="AB21" s="219">
        <f>AB16+AB18+AB19</f>
        <v>42987860.68148898</v>
      </c>
      <c r="AC21" s="219">
        <f>AC16+AC18+AC19</f>
        <v>97201395.07515955</v>
      </c>
      <c r="AE21" s="14"/>
    </row>
    <row r="22" spans="13:28" ht="12.75"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AA22" s="14"/>
      <c r="AB22" s="14"/>
    </row>
    <row r="23" spans="12:13" ht="12.75">
      <c r="L23" s="14"/>
      <c r="M23" s="14"/>
    </row>
    <row r="25" spans="1:28" ht="15.75">
      <c r="A25" s="17"/>
      <c r="L25" s="26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AA25" s="16"/>
      <c r="AB25" s="16"/>
    </row>
    <row r="27" spans="2:13" ht="12.75">
      <c r="B27" s="211"/>
      <c r="M27" s="14"/>
    </row>
    <row r="28" ht="12.75">
      <c r="B28" s="212"/>
    </row>
    <row r="29" ht="12.75">
      <c r="B29" s="213"/>
    </row>
    <row r="30" ht="12.75">
      <c r="B30" s="213"/>
    </row>
    <row r="31" ht="12.75">
      <c r="B31" s="213"/>
    </row>
    <row r="32" ht="12.75">
      <c r="B32" s="213"/>
    </row>
    <row r="33" ht="12.75">
      <c r="B33" s="213"/>
    </row>
    <row r="34" ht="12.75">
      <c r="B34" s="213"/>
    </row>
    <row r="35" ht="12.75">
      <c r="B35" s="213"/>
    </row>
    <row r="36" ht="12.75">
      <c r="B36" s="213"/>
    </row>
    <row r="37" ht="12.75">
      <c r="B37" s="213"/>
    </row>
    <row r="38" ht="12.75">
      <c r="B38" s="211"/>
    </row>
    <row r="39" ht="12.75">
      <c r="B39" s="211"/>
    </row>
    <row r="40" ht="12.75">
      <c r="B40" s="212"/>
    </row>
    <row r="41" ht="12.75">
      <c r="B41" s="211"/>
    </row>
    <row r="42" ht="12.75">
      <c r="B42" s="213"/>
    </row>
    <row r="43" ht="12.75">
      <c r="B43" s="213"/>
    </row>
    <row r="44" ht="12.75">
      <c r="B44" s="213"/>
    </row>
    <row r="45" ht="12.75">
      <c r="B45" s="212"/>
    </row>
    <row r="46" ht="12.75">
      <c r="B46" s="211"/>
    </row>
    <row r="47" ht="12.75">
      <c r="B47" s="212"/>
    </row>
    <row r="48" ht="12.75">
      <c r="B48" s="211"/>
    </row>
    <row r="49" ht="12.75">
      <c r="B49" s="213"/>
    </row>
    <row r="50" ht="12.75">
      <c r="B50" s="213"/>
    </row>
    <row r="51" ht="12.75">
      <c r="B51" s="213"/>
    </row>
    <row r="52" ht="12.75">
      <c r="B52" s="213"/>
    </row>
    <row r="53" ht="12.75">
      <c r="B53" s="212"/>
    </row>
    <row r="54" ht="12.75">
      <c r="B54" s="211"/>
    </row>
    <row r="55" ht="12.75">
      <c r="B55" s="212"/>
    </row>
    <row r="56" ht="12.75">
      <c r="B56" s="211"/>
    </row>
    <row r="57" ht="12.75">
      <c r="B57" s="211"/>
    </row>
    <row r="58" ht="12.75">
      <c r="B58" s="213"/>
    </row>
    <row r="59" ht="12.75">
      <c r="B59" s="21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7.57421875" style="0" customWidth="1"/>
    <col min="2" max="4" width="11.28125" style="267" customWidth="1"/>
    <col min="5" max="5" width="11.140625" style="267" customWidth="1"/>
    <col min="6" max="6" width="12.140625" style="267" customWidth="1"/>
  </cols>
  <sheetData>
    <row r="1" spans="1:6" ht="15.75">
      <c r="A1" s="28" t="s">
        <v>281</v>
      </c>
      <c r="B1" s="208"/>
      <c r="C1" s="208"/>
      <c r="D1" s="208"/>
      <c r="E1" s="208"/>
      <c r="F1" s="208"/>
    </row>
    <row r="2" spans="1:6" ht="15.75">
      <c r="A2" s="28"/>
      <c r="B2" s="208"/>
      <c r="C2" s="208"/>
      <c r="D2" s="208"/>
      <c r="E2" s="208"/>
      <c r="F2" s="208"/>
    </row>
    <row r="3" spans="1:6" s="268" customFormat="1" ht="12.75">
      <c r="A3" s="22"/>
      <c r="B3" s="271" t="s">
        <v>164</v>
      </c>
      <c r="C3" s="271" t="s">
        <v>266</v>
      </c>
      <c r="D3" s="271" t="s">
        <v>166</v>
      </c>
      <c r="E3" s="271" t="s">
        <v>167</v>
      </c>
      <c r="F3" s="271" t="s">
        <v>168</v>
      </c>
    </row>
    <row r="4" spans="1:6" ht="12.75">
      <c r="A4" s="18" t="s">
        <v>260</v>
      </c>
      <c r="B4" s="208"/>
      <c r="C4" s="208"/>
      <c r="D4" s="208"/>
      <c r="E4" s="208"/>
      <c r="F4" s="208"/>
    </row>
    <row r="5" spans="1:6" ht="12.75">
      <c r="A5" s="18" t="s">
        <v>261</v>
      </c>
      <c r="B5" s="208">
        <f>'Cash FlowFig9.5'!M21</f>
        <v>185515.84406394488</v>
      </c>
      <c r="C5" s="208">
        <f>'Cash FlowFig9.5'!Z21</f>
        <v>369606.67739727837</v>
      </c>
      <c r="D5" s="208">
        <f>'Cash FlowFig9.5'!AA21</f>
        <v>10566467.440414084</v>
      </c>
      <c r="E5" s="208">
        <f>'Cash FlowFig9.5'!AB21</f>
        <v>42987860.68148898</v>
      </c>
      <c r="F5" s="208">
        <f>'Cash FlowFig9.5'!AC21</f>
        <v>97201395.07515955</v>
      </c>
    </row>
    <row r="6" spans="1:6" ht="12.75">
      <c r="A6" s="18" t="s">
        <v>267</v>
      </c>
      <c r="B6" s="208">
        <f>'P&amp;LFig9.4'!M8</f>
        <v>193500</v>
      </c>
      <c r="C6" s="208">
        <f>'P&amp;LFig9.4'!Z8</f>
        <v>1095750</v>
      </c>
      <c r="D6" s="208">
        <f>'P&amp;LFig9.4'!AB8/12</f>
        <v>2879812.5</v>
      </c>
      <c r="E6" s="208">
        <f>'P&amp;LFig9.4'!AC8/12</f>
        <v>7208050</v>
      </c>
      <c r="F6" s="208">
        <f>'P&amp;LFig9.4'!AD8/12</f>
        <v>11406450</v>
      </c>
    </row>
    <row r="7" spans="1:6" ht="12.75">
      <c r="A7" s="18" t="s">
        <v>262</v>
      </c>
      <c r="B7" s="208">
        <f>'Cap Exp'!E86-'Cap Exp'!E91</f>
        <v>102066.66666666666</v>
      </c>
      <c r="C7" s="208">
        <f>(SUM('Cap Exp'!E86:F86))-(SUM('Cap Exp'!E97:F97))</f>
        <v>115466.66666666666</v>
      </c>
      <c r="D7" s="208">
        <f>(SUM('Cap Exp'!E86:G86))-(SUM('Cap Exp'!E97:G97))</f>
        <v>100250</v>
      </c>
      <c r="E7" s="208">
        <f>(SUM('Cap Exp'!E86:H86))-(SUM('Cap Exp'!E97:H97))</f>
        <v>84416.66666666669</v>
      </c>
      <c r="F7" s="208">
        <f>(SUM('Cap Exp'!E86:I86))-(SUM('Cap Exp'!E97:I97))</f>
        <v>82266.66666666669</v>
      </c>
    </row>
    <row r="8" spans="1:6" ht="12.75">
      <c r="A8" s="18"/>
      <c r="B8" s="208"/>
      <c r="C8" s="208"/>
      <c r="D8" s="208"/>
      <c r="E8" s="208"/>
      <c r="F8" s="208"/>
    </row>
    <row r="9" spans="1:6" s="268" customFormat="1" ht="12.75">
      <c r="A9" s="22" t="s">
        <v>273</v>
      </c>
      <c r="B9" s="272">
        <f>SUM(B5:B7)</f>
        <v>481082.5107306115</v>
      </c>
      <c r="C9" s="272">
        <f>SUM(C5:C7)</f>
        <v>1580823.344063945</v>
      </c>
      <c r="D9" s="272">
        <f>SUM(D5:D7)</f>
        <v>13546529.940414084</v>
      </c>
      <c r="E9" s="272">
        <f>SUM(E5:E7)</f>
        <v>50280327.34815565</v>
      </c>
      <c r="F9" s="272">
        <f>SUM(F5:F7)</f>
        <v>108690111.74182622</v>
      </c>
    </row>
    <row r="10" spans="1:6" ht="12.75">
      <c r="A10" s="18"/>
      <c r="B10" s="208"/>
      <c r="C10" s="208"/>
      <c r="D10" s="208"/>
      <c r="E10" s="208"/>
      <c r="F10" s="208"/>
    </row>
    <row r="11" spans="1:6" ht="12.75">
      <c r="A11" s="18" t="s">
        <v>263</v>
      </c>
      <c r="B11" s="208"/>
      <c r="C11" s="208"/>
      <c r="D11" s="208"/>
      <c r="E11" s="208"/>
      <c r="F11" s="208"/>
    </row>
    <row r="12" spans="1:6" ht="12.75">
      <c r="A12" s="18" t="s">
        <v>268</v>
      </c>
      <c r="B12" s="208">
        <f>'P&amp;LFig9.4'!M17</f>
        <v>178425</v>
      </c>
      <c r="C12" s="208">
        <f>'P&amp;LFig9.4'!Z17</f>
        <v>392287.5</v>
      </c>
      <c r="D12" s="208">
        <f>'P&amp;LFig9.4'!AB17/12</f>
        <v>781490.625</v>
      </c>
      <c r="E12" s="208">
        <f>'P&amp;LFig9.4'!AC17/12</f>
        <v>1630402.5</v>
      </c>
      <c r="F12" s="208">
        <f>'P&amp;LFig9.4'!AD17/12</f>
        <v>2557822.5</v>
      </c>
    </row>
    <row r="13" spans="1:6" ht="12.75">
      <c r="A13" s="18" t="s">
        <v>264</v>
      </c>
      <c r="B13" s="208"/>
      <c r="C13" s="208"/>
      <c r="D13" s="208"/>
      <c r="E13" s="208"/>
      <c r="F13" s="208"/>
    </row>
    <row r="14" spans="1:6" ht="12.75">
      <c r="A14" s="18" t="s">
        <v>269</v>
      </c>
      <c r="B14" s="208">
        <f>'Cash FlowFig9.5'!M19</f>
        <v>0</v>
      </c>
      <c r="C14" s="208">
        <f>'Cash FlowFig9.5'!Z19</f>
        <v>100000</v>
      </c>
      <c r="D14" s="208">
        <f>'Cash FlowFig9.5'!AA19</f>
        <v>100000</v>
      </c>
      <c r="E14" s="208">
        <f>'Cash FlowFig9.5'!AB19</f>
        <v>100000</v>
      </c>
      <c r="F14" s="208">
        <f>'Cash FlowFig9.5'!AC19</f>
        <v>100000</v>
      </c>
    </row>
    <row r="15" spans="1:6" ht="12.75">
      <c r="A15" s="18" t="s">
        <v>270</v>
      </c>
      <c r="B15" s="208"/>
      <c r="C15" s="208"/>
      <c r="D15" s="208"/>
      <c r="E15" s="208"/>
      <c r="F15" s="208"/>
    </row>
    <row r="16" spans="1:6" ht="12.75">
      <c r="A16" s="18"/>
      <c r="B16" s="208"/>
      <c r="C16" s="208"/>
      <c r="D16" s="208"/>
      <c r="E16" s="208"/>
      <c r="F16" s="208"/>
    </row>
    <row r="17" spans="1:6" s="268" customFormat="1" ht="12.75">
      <c r="A17" s="22" t="s">
        <v>274</v>
      </c>
      <c r="B17" s="272">
        <f>SUM(B12:B15)</f>
        <v>178425</v>
      </c>
      <c r="C17" s="272">
        <f>SUM(C12:C15)</f>
        <v>492287.5</v>
      </c>
      <c r="D17" s="272">
        <f>SUM(D12:D15)</f>
        <v>881490.625</v>
      </c>
      <c r="E17" s="272">
        <f>SUM(E12:E15)</f>
        <v>1730402.5</v>
      </c>
      <c r="F17" s="272">
        <f>SUM(F12:F15)</f>
        <v>2657822.5</v>
      </c>
    </row>
    <row r="18" spans="1:6" ht="12.75">
      <c r="A18" s="18"/>
      <c r="B18" s="208"/>
      <c r="C18" s="208"/>
      <c r="D18" s="208"/>
      <c r="E18" s="208"/>
      <c r="F18" s="208"/>
    </row>
    <row r="19" spans="1:6" ht="12.75">
      <c r="A19" s="18" t="s">
        <v>265</v>
      </c>
      <c r="B19" s="208"/>
      <c r="C19" s="208"/>
      <c r="D19" s="208"/>
      <c r="E19" s="208"/>
      <c r="F19" s="208"/>
    </row>
    <row r="20" spans="1:6" ht="12.75">
      <c r="A20" s="18" t="s">
        <v>271</v>
      </c>
      <c r="B20" s="208">
        <f>B23</f>
        <v>302657.5107306115</v>
      </c>
      <c r="C20" s="208">
        <f>C23</f>
        <v>1088535.844063945</v>
      </c>
      <c r="D20" s="208">
        <v>3500000</v>
      </c>
      <c r="E20" s="208">
        <v>3500000</v>
      </c>
      <c r="F20" s="208">
        <v>3500000</v>
      </c>
    </row>
    <row r="21" spans="1:6" ht="12.75">
      <c r="A21" s="18" t="s">
        <v>272</v>
      </c>
      <c r="B21" s="208"/>
      <c r="C21" s="208"/>
      <c r="D21" s="208">
        <f>D23-D20</f>
        <v>9165039.315414084</v>
      </c>
      <c r="E21" s="208">
        <f>E23-E20</f>
        <v>45049924.84815565</v>
      </c>
      <c r="F21" s="208">
        <f>F23-F20</f>
        <v>102532289.24182622</v>
      </c>
    </row>
    <row r="22" spans="1:6" ht="12.75">
      <c r="A22" s="18"/>
      <c r="B22" s="208"/>
      <c r="C22" s="208"/>
      <c r="D22" s="208"/>
      <c r="E22" s="208"/>
      <c r="F22" s="208"/>
    </row>
    <row r="23" spans="1:6" s="268" customFormat="1" ht="12.75">
      <c r="A23" s="22" t="s">
        <v>275</v>
      </c>
      <c r="B23" s="272">
        <f>B9-B17</f>
        <v>302657.5107306115</v>
      </c>
      <c r="C23" s="272">
        <f>C9-C17</f>
        <v>1088535.844063945</v>
      </c>
      <c r="D23" s="272">
        <f>D9-D17</f>
        <v>12665039.315414084</v>
      </c>
      <c r="E23" s="272">
        <f>E9-E17</f>
        <v>48549924.84815565</v>
      </c>
      <c r="F23" s="272">
        <f>F9-F17</f>
        <v>106032289.24182622</v>
      </c>
    </row>
  </sheetData>
  <sheetProtection/>
  <printOptions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54"/>
  <sheetViews>
    <sheetView zoomScalePageLayoutView="0" workbookViewId="0" topLeftCell="A1">
      <selection activeCell="E97" sqref="E97"/>
    </sheetView>
  </sheetViews>
  <sheetFormatPr defaultColWidth="9.140625" defaultRowHeight="12.75"/>
  <cols>
    <col min="1" max="2" width="2.7109375" style="18" customWidth="1"/>
    <col min="3" max="3" width="28.00390625" style="18" customWidth="1"/>
    <col min="4" max="4" width="14.57421875" style="18" customWidth="1"/>
    <col min="5" max="8" width="8.7109375" style="18" customWidth="1"/>
    <col min="9" max="16384" width="9.140625" style="18" customWidth="1"/>
  </cols>
  <sheetData>
    <row r="1" ht="15.75">
      <c r="A1" s="28" t="s">
        <v>176</v>
      </c>
    </row>
    <row r="2" spans="4:9" ht="12.75">
      <c r="D2" s="19" t="s">
        <v>68</v>
      </c>
      <c r="E2" s="19" t="s">
        <v>164</v>
      </c>
      <c r="F2" s="38" t="s">
        <v>165</v>
      </c>
      <c r="G2" s="38" t="s">
        <v>166</v>
      </c>
      <c r="H2" s="38" t="s">
        <v>167</v>
      </c>
      <c r="I2" s="38" t="s">
        <v>168</v>
      </c>
    </row>
    <row r="3" spans="1:4" ht="12.75">
      <c r="A3" s="39" t="s">
        <v>28</v>
      </c>
      <c r="B3" s="40"/>
      <c r="C3" s="40"/>
      <c r="D3" s="41"/>
    </row>
    <row r="4" spans="1:9" ht="12.75">
      <c r="A4" s="39"/>
      <c r="B4" s="40" t="s">
        <v>33</v>
      </c>
      <c r="C4" s="40"/>
      <c r="D4" s="40"/>
      <c r="E4" s="42">
        <f>Headcount!O84</f>
        <v>9</v>
      </c>
      <c r="F4" s="42">
        <f>Headcount!AB84</f>
        <v>12</v>
      </c>
      <c r="G4" s="42">
        <f>Headcount!AC84</f>
        <v>14</v>
      </c>
      <c r="H4" s="42">
        <f>Headcount!AD84</f>
        <v>14</v>
      </c>
      <c r="I4" s="42">
        <f>Headcount!AE84</f>
        <v>14</v>
      </c>
    </row>
    <row r="5" spans="1:9" ht="12.75">
      <c r="A5" s="39"/>
      <c r="B5" s="40" t="s">
        <v>34</v>
      </c>
      <c r="C5" s="40"/>
      <c r="D5" s="40"/>
      <c r="E5" s="42">
        <f>E4</f>
        <v>9</v>
      </c>
      <c r="F5" s="42">
        <f>F4-E4</f>
        <v>3</v>
      </c>
      <c r="G5" s="42">
        <f>G4-F4</f>
        <v>2</v>
      </c>
      <c r="H5" s="42">
        <f>H4-G4</f>
        <v>0</v>
      </c>
      <c r="I5" s="42">
        <f>I4-H4</f>
        <v>0</v>
      </c>
    </row>
    <row r="6" spans="1:9" ht="12.75">
      <c r="A6" s="39"/>
      <c r="B6" s="40" t="s">
        <v>35</v>
      </c>
      <c r="C6" s="40"/>
      <c r="D6" s="40"/>
      <c r="E6" s="42">
        <f>Headcount!O83</f>
        <v>3</v>
      </c>
      <c r="F6" s="42">
        <f>Headcount!AB83</f>
        <v>6</v>
      </c>
      <c r="G6" s="42">
        <f>Headcount!AC83</f>
        <v>7</v>
      </c>
      <c r="H6" s="42">
        <f>Headcount!AD83</f>
        <v>7</v>
      </c>
      <c r="I6" s="42">
        <f>Headcount!AE83</f>
        <v>7</v>
      </c>
    </row>
    <row r="7" spans="1:9" ht="12.75">
      <c r="A7" s="39"/>
      <c r="B7" s="40" t="s">
        <v>36</v>
      </c>
      <c r="C7" s="40"/>
      <c r="D7" s="40"/>
      <c r="E7" s="42">
        <f>E6</f>
        <v>3</v>
      </c>
      <c r="F7" s="42">
        <f>F6-E6</f>
        <v>3</v>
      </c>
      <c r="G7" s="42">
        <f>G6-F6</f>
        <v>1</v>
      </c>
      <c r="H7" s="42">
        <f>H6-G6</f>
        <v>0</v>
      </c>
      <c r="I7" s="42">
        <f>I6-H6</f>
        <v>0</v>
      </c>
    </row>
    <row r="8" spans="1:9" ht="12.75">
      <c r="A8" s="39"/>
      <c r="B8" s="40" t="s">
        <v>37</v>
      </c>
      <c r="C8" s="40"/>
      <c r="D8" s="40"/>
      <c r="E8" s="42">
        <f>Headcount!O82</f>
        <v>4</v>
      </c>
      <c r="F8" s="42">
        <f>Headcount!AB82</f>
        <v>7</v>
      </c>
      <c r="G8" s="42">
        <f>Headcount!AC82</f>
        <v>7</v>
      </c>
      <c r="H8" s="42">
        <f>Headcount!AD82</f>
        <v>7</v>
      </c>
      <c r="I8" s="42">
        <f>Headcount!AE82</f>
        <v>7</v>
      </c>
    </row>
    <row r="9" spans="1:9" ht="12.75">
      <c r="A9" s="39"/>
      <c r="B9" s="40" t="s">
        <v>38</v>
      </c>
      <c r="C9" s="40"/>
      <c r="D9" s="40"/>
      <c r="E9" s="42">
        <f>E8</f>
        <v>4</v>
      </c>
      <c r="F9" s="42">
        <f>F8-E8</f>
        <v>3</v>
      </c>
      <c r="G9" s="42">
        <f>G8-F8</f>
        <v>0</v>
      </c>
      <c r="H9" s="42">
        <f>H8-G8</f>
        <v>0</v>
      </c>
      <c r="I9" s="42">
        <f>I8-H8</f>
        <v>0</v>
      </c>
    </row>
    <row r="10" spans="1:9" ht="12.75">
      <c r="A10" s="39"/>
      <c r="B10" s="40" t="s">
        <v>19</v>
      </c>
      <c r="C10" s="40"/>
      <c r="D10" s="40"/>
      <c r="E10" s="42">
        <f>Headcount!O85</f>
        <v>3</v>
      </c>
      <c r="F10" s="42">
        <f>Headcount!AB85</f>
        <v>7</v>
      </c>
      <c r="G10" s="42">
        <f>Headcount!AC85</f>
        <v>10</v>
      </c>
      <c r="H10" s="42">
        <f>Headcount!AD85</f>
        <v>13</v>
      </c>
      <c r="I10" s="42">
        <f>Headcount!AE85</f>
        <v>17</v>
      </c>
    </row>
    <row r="11" spans="1:9" ht="12.75">
      <c r="A11" s="39"/>
      <c r="B11" s="40" t="s">
        <v>158</v>
      </c>
      <c r="C11" s="40"/>
      <c r="D11" s="40"/>
      <c r="E11" s="42">
        <f>E10</f>
        <v>3</v>
      </c>
      <c r="F11" s="42">
        <f>F10-E10</f>
        <v>4</v>
      </c>
      <c r="G11" s="42">
        <f>G10-F10</f>
        <v>3</v>
      </c>
      <c r="H11" s="42">
        <f>H10-G10</f>
        <v>3</v>
      </c>
      <c r="I11" s="42">
        <f>I10-H10</f>
        <v>4</v>
      </c>
    </row>
    <row r="12" ht="12.75">
      <c r="B12" s="22"/>
    </row>
    <row r="13" ht="12.75">
      <c r="A13" s="22" t="s">
        <v>2</v>
      </c>
    </row>
    <row r="14" spans="2:8" ht="12.75">
      <c r="B14" s="18" t="s">
        <v>39</v>
      </c>
      <c r="D14" s="42"/>
      <c r="E14" s="42"/>
      <c r="F14" s="42"/>
      <c r="G14" s="42"/>
      <c r="H14" s="42"/>
    </row>
    <row r="15" spans="3:9" ht="12.75">
      <c r="C15" s="18" t="s">
        <v>40</v>
      </c>
      <c r="D15" s="42">
        <v>1000</v>
      </c>
      <c r="E15" s="42">
        <f>Cap_Unit_Price*RD_Change</f>
        <v>9000</v>
      </c>
      <c r="F15" s="42">
        <f aca="true" t="shared" si="0" ref="F15:I16">Cap_Unit_Price*RD_Change</f>
        <v>3000</v>
      </c>
      <c r="G15" s="42">
        <f t="shared" si="0"/>
        <v>2000</v>
      </c>
      <c r="H15" s="42">
        <f t="shared" si="0"/>
        <v>0</v>
      </c>
      <c r="I15" s="42">
        <f t="shared" si="0"/>
        <v>0</v>
      </c>
    </row>
    <row r="16" spans="3:9" ht="12.75">
      <c r="C16" s="18" t="s">
        <v>41</v>
      </c>
      <c r="D16" s="42">
        <v>1500</v>
      </c>
      <c r="E16" s="42">
        <f>Cap_Unit_Price*RD_Change</f>
        <v>13500</v>
      </c>
      <c r="F16" s="42">
        <f t="shared" si="0"/>
        <v>4500</v>
      </c>
      <c r="G16" s="42">
        <f t="shared" si="0"/>
        <v>3000</v>
      </c>
      <c r="H16" s="42">
        <f t="shared" si="0"/>
        <v>0</v>
      </c>
      <c r="I16" s="42">
        <f t="shared" si="0"/>
        <v>0</v>
      </c>
    </row>
    <row r="17" spans="3:9" ht="12.75">
      <c r="C17" s="18" t="s">
        <v>172</v>
      </c>
      <c r="D17" s="42">
        <v>14000</v>
      </c>
      <c r="E17" s="42">
        <v>28000</v>
      </c>
      <c r="F17" s="42"/>
      <c r="G17" s="42">
        <v>28000</v>
      </c>
      <c r="H17" s="42"/>
      <c r="I17" s="42"/>
    </row>
    <row r="18" spans="3:9" ht="12.75">
      <c r="C18" s="18" t="s">
        <v>173</v>
      </c>
      <c r="D18" s="42">
        <v>14000</v>
      </c>
      <c r="E18" s="42"/>
      <c r="F18" s="42">
        <f>Cap_Unit_Price</f>
        <v>14000</v>
      </c>
      <c r="G18" s="42"/>
      <c r="H18" s="42"/>
      <c r="I18" s="42">
        <f>Cap_Unit_Price</f>
        <v>14000</v>
      </c>
    </row>
    <row r="19" spans="3:9" ht="12.75">
      <c r="C19" s="18" t="s">
        <v>57</v>
      </c>
      <c r="D19" s="42">
        <v>600</v>
      </c>
      <c r="E19" s="43">
        <f>Cap_Unit_Price*2</f>
        <v>1200</v>
      </c>
      <c r="F19" s="43">
        <f>Cap_Unit_Price</f>
        <v>600</v>
      </c>
      <c r="G19" s="43">
        <f>Cap_Unit_Price</f>
        <v>600</v>
      </c>
      <c r="H19" s="43">
        <f>Cap_Unit_Price</f>
        <v>600</v>
      </c>
      <c r="I19" s="43">
        <f>Cap_Unit_Price</f>
        <v>600</v>
      </c>
    </row>
    <row r="20" spans="2:9" ht="12.75">
      <c r="B20" s="18" t="s">
        <v>43</v>
      </c>
      <c r="D20" s="42"/>
      <c r="E20" s="42">
        <f>SUM(E15:E19)</f>
        <v>51700</v>
      </c>
      <c r="F20" s="42">
        <f>SUM(F15:F19)</f>
        <v>22100</v>
      </c>
      <c r="G20" s="42">
        <f>SUM(G15:G19)</f>
        <v>33600</v>
      </c>
      <c r="H20" s="42">
        <f>SUM(H15:H19)</f>
        <v>600</v>
      </c>
      <c r="I20" s="42">
        <f>SUM(I15:I19)</f>
        <v>14600</v>
      </c>
    </row>
    <row r="21" spans="4:8" ht="12.75">
      <c r="D21" s="42"/>
      <c r="E21" s="42"/>
      <c r="F21" s="42"/>
      <c r="G21" s="42"/>
      <c r="H21" s="42"/>
    </row>
    <row r="22" spans="2:8" ht="12.75">
      <c r="B22" s="18" t="s">
        <v>44</v>
      </c>
      <c r="D22" s="42"/>
      <c r="E22" s="42"/>
      <c r="F22" s="42"/>
      <c r="G22" s="42"/>
      <c r="H22" s="42"/>
    </row>
    <row r="23" spans="3:9" ht="12.75">
      <c r="C23" s="18" t="s">
        <v>45</v>
      </c>
      <c r="D23" s="42">
        <v>400</v>
      </c>
      <c r="E23" s="42">
        <f aca="true" t="shared" si="1" ref="E23:I24">Cap_Unit_Price*RD_Change</f>
        <v>3600</v>
      </c>
      <c r="F23" s="42">
        <f t="shared" si="1"/>
        <v>1200</v>
      </c>
      <c r="G23" s="42">
        <f t="shared" si="1"/>
        <v>800</v>
      </c>
      <c r="H23" s="42">
        <f t="shared" si="1"/>
        <v>0</v>
      </c>
      <c r="I23" s="42">
        <f t="shared" si="1"/>
        <v>0</v>
      </c>
    </row>
    <row r="24" spans="3:9" ht="12.75">
      <c r="C24" s="18" t="s">
        <v>46</v>
      </c>
      <c r="D24" s="42">
        <v>250</v>
      </c>
      <c r="E24" s="43">
        <f t="shared" si="1"/>
        <v>2250</v>
      </c>
      <c r="F24" s="43">
        <f t="shared" si="1"/>
        <v>750</v>
      </c>
      <c r="G24" s="43">
        <f t="shared" si="1"/>
        <v>500</v>
      </c>
      <c r="H24" s="43">
        <f t="shared" si="1"/>
        <v>0</v>
      </c>
      <c r="I24" s="43">
        <f t="shared" si="1"/>
        <v>0</v>
      </c>
    </row>
    <row r="25" spans="2:9" ht="12.75">
      <c r="B25" s="18" t="s">
        <v>47</v>
      </c>
      <c r="D25" s="42"/>
      <c r="E25" s="42">
        <f>SUM(E23:E24)</f>
        <v>5850</v>
      </c>
      <c r="F25" s="42">
        <f>SUM(F23:F24)</f>
        <v>1950</v>
      </c>
      <c r="G25" s="42">
        <f>SUM(G23:G24)</f>
        <v>1300</v>
      </c>
      <c r="H25" s="42">
        <f>SUM(H23:H24)</f>
        <v>0</v>
      </c>
      <c r="I25" s="42">
        <f>SUM(I23:I24)</f>
        <v>0</v>
      </c>
    </row>
    <row r="26" spans="4:8" ht="12.75">
      <c r="D26" s="42"/>
      <c r="E26" s="42"/>
      <c r="F26" s="42"/>
      <c r="G26" s="42"/>
      <c r="H26" s="42"/>
    </row>
    <row r="27" spans="2:9" ht="12.75">
      <c r="B27" s="18" t="s">
        <v>48</v>
      </c>
      <c r="D27" s="42"/>
      <c r="E27" s="42">
        <f>E20+E25</f>
        <v>57550</v>
      </c>
      <c r="F27" s="42">
        <f>F20+F25</f>
        <v>24050</v>
      </c>
      <c r="G27" s="42">
        <f>G20+G25</f>
        <v>34900</v>
      </c>
      <c r="H27" s="42">
        <f>H20+H25</f>
        <v>600</v>
      </c>
      <c r="I27" s="42">
        <f>I20+I25</f>
        <v>14600</v>
      </c>
    </row>
    <row r="28" spans="4:8" ht="12.75">
      <c r="D28" s="42"/>
      <c r="E28" s="42"/>
      <c r="F28" s="42"/>
      <c r="G28" s="42"/>
      <c r="H28" s="42"/>
    </row>
    <row r="29" spans="1:8" ht="12.75">
      <c r="A29" s="22" t="s">
        <v>3</v>
      </c>
      <c r="E29" s="42"/>
      <c r="F29" s="42"/>
      <c r="G29" s="42"/>
      <c r="H29" s="42"/>
    </row>
    <row r="30" spans="2:8" ht="12.75">
      <c r="B30" s="18" t="s">
        <v>39</v>
      </c>
      <c r="D30" s="42"/>
      <c r="E30" s="42"/>
      <c r="F30" s="42"/>
      <c r="G30" s="42"/>
      <c r="H30" s="42"/>
    </row>
    <row r="31" spans="3:9" ht="12.75">
      <c r="C31" s="18" t="s">
        <v>40</v>
      </c>
      <c r="D31" s="42">
        <v>1000</v>
      </c>
      <c r="E31" s="42">
        <f>Cap_Unit_Price*SM_Change</f>
        <v>3000</v>
      </c>
      <c r="F31" s="42">
        <f>Cap_Unit_Price*SM_Change</f>
        <v>3000</v>
      </c>
      <c r="G31" s="42">
        <f>Cap_Unit_Price*SM_Change</f>
        <v>1000</v>
      </c>
      <c r="H31" s="42">
        <f>Cap_Unit_Price*SM_Change</f>
        <v>0</v>
      </c>
      <c r="I31" s="42">
        <f>Cap_Unit_Price*SM_Change</f>
        <v>0</v>
      </c>
    </row>
    <row r="32" spans="3:9" ht="12.75">
      <c r="C32" s="18" t="s">
        <v>42</v>
      </c>
      <c r="D32" s="43">
        <v>300</v>
      </c>
      <c r="E32" s="43">
        <f>Cap_Unit_Price</f>
        <v>300</v>
      </c>
      <c r="F32" s="43">
        <f>Cap_Unit_Price</f>
        <v>300</v>
      </c>
      <c r="G32" s="43">
        <f>Cap_Unit_Price</f>
        <v>300</v>
      </c>
      <c r="H32" s="43">
        <f>Cap_Unit_Price</f>
        <v>300</v>
      </c>
      <c r="I32" s="43">
        <f>Cap_Unit_Price</f>
        <v>300</v>
      </c>
    </row>
    <row r="33" spans="2:9" ht="12.75">
      <c r="B33" s="18" t="s">
        <v>43</v>
      </c>
      <c r="D33" s="42"/>
      <c r="E33" s="42">
        <f>SUM(E31:E32)</f>
        <v>3300</v>
      </c>
      <c r="F33" s="42">
        <f>SUM(F31:F32)</f>
        <v>3300</v>
      </c>
      <c r="G33" s="42">
        <f>SUM(G31:G32)</f>
        <v>1300</v>
      </c>
      <c r="H33" s="42">
        <f>SUM(H31:H32)</f>
        <v>300</v>
      </c>
      <c r="I33" s="42">
        <f>SUM(I31:I32)</f>
        <v>300</v>
      </c>
    </row>
    <row r="34" spans="4:8" ht="12.75">
      <c r="D34" s="42"/>
      <c r="E34" s="42"/>
      <c r="F34" s="42"/>
      <c r="G34" s="42"/>
      <c r="H34" s="42"/>
    </row>
    <row r="35" spans="2:8" ht="12.75">
      <c r="B35" s="18" t="s">
        <v>44</v>
      </c>
      <c r="D35" s="42"/>
      <c r="E35" s="42"/>
      <c r="F35" s="42"/>
      <c r="G35" s="42"/>
      <c r="H35" s="42"/>
    </row>
    <row r="36" spans="3:9" ht="12.75">
      <c r="C36" s="18" t="s">
        <v>45</v>
      </c>
      <c r="D36" s="42">
        <v>400</v>
      </c>
      <c r="E36" s="42">
        <f aca="true" t="shared" si="2" ref="E36:I37">Cap_Unit_Price*SM_Change</f>
        <v>1200</v>
      </c>
      <c r="F36" s="42">
        <f t="shared" si="2"/>
        <v>1200</v>
      </c>
      <c r="G36" s="42">
        <f t="shared" si="2"/>
        <v>400</v>
      </c>
      <c r="H36" s="42">
        <f t="shared" si="2"/>
        <v>0</v>
      </c>
      <c r="I36" s="42">
        <f t="shared" si="2"/>
        <v>0</v>
      </c>
    </row>
    <row r="37" spans="3:9" ht="12.75">
      <c r="C37" s="18" t="s">
        <v>46</v>
      </c>
      <c r="D37" s="42">
        <v>250</v>
      </c>
      <c r="E37" s="42">
        <f t="shared" si="2"/>
        <v>750</v>
      </c>
      <c r="F37" s="42">
        <f t="shared" si="2"/>
        <v>750</v>
      </c>
      <c r="G37" s="42">
        <f t="shared" si="2"/>
        <v>250</v>
      </c>
      <c r="H37" s="42">
        <f t="shared" si="2"/>
        <v>0</v>
      </c>
      <c r="I37" s="42">
        <f t="shared" si="2"/>
        <v>0</v>
      </c>
    </row>
    <row r="38" spans="3:9" ht="12.75">
      <c r="C38" s="18" t="s">
        <v>50</v>
      </c>
      <c r="D38" s="42">
        <v>1500</v>
      </c>
      <c r="E38" s="42">
        <v>1500</v>
      </c>
      <c r="F38" s="42">
        <v>1500</v>
      </c>
      <c r="G38" s="42">
        <v>1500</v>
      </c>
      <c r="H38" s="42">
        <v>1500</v>
      </c>
      <c r="I38" s="42">
        <v>1500</v>
      </c>
    </row>
    <row r="39" spans="3:9" ht="12.75">
      <c r="C39" s="18" t="s">
        <v>51</v>
      </c>
      <c r="D39" s="42">
        <v>3000</v>
      </c>
      <c r="E39" s="42">
        <v>6000</v>
      </c>
      <c r="F39" s="42"/>
      <c r="G39" s="42"/>
      <c r="H39" s="42">
        <v>6000</v>
      </c>
      <c r="I39" s="42"/>
    </row>
    <row r="40" spans="3:9" ht="12.75">
      <c r="C40" s="18" t="s">
        <v>52</v>
      </c>
      <c r="D40" s="42">
        <v>600</v>
      </c>
      <c r="E40" s="43">
        <f>Cap_Unit_Price</f>
        <v>600</v>
      </c>
      <c r="F40" s="43">
        <f>Cap_Unit_Price</f>
        <v>600</v>
      </c>
      <c r="G40" s="43">
        <f>Cap_Unit_Price</f>
        <v>600</v>
      </c>
      <c r="H40" s="43">
        <f>Cap_Unit_Price</f>
        <v>600</v>
      </c>
      <c r="I40" s="43">
        <f>Cap_Unit_Price</f>
        <v>600</v>
      </c>
    </row>
    <row r="41" spans="2:9" ht="12.75">
      <c r="B41" s="18" t="s">
        <v>47</v>
      </c>
      <c r="D41" s="42"/>
      <c r="E41" s="42">
        <f>SUM(E36:E40)</f>
        <v>10050</v>
      </c>
      <c r="F41" s="42">
        <f>SUM(F36:F40)</f>
        <v>4050</v>
      </c>
      <c r="G41" s="42">
        <f>SUM(G36:G40)</f>
        <v>2750</v>
      </c>
      <c r="H41" s="42">
        <f>SUM(H36:H40)</f>
        <v>8100</v>
      </c>
      <c r="I41" s="42">
        <f>SUM(I36:I40)</f>
        <v>2100</v>
      </c>
    </row>
    <row r="42" spans="4:9" ht="12.75">
      <c r="D42" s="42"/>
      <c r="E42" s="43"/>
      <c r="F42" s="43"/>
      <c r="G42" s="43"/>
      <c r="H42" s="43"/>
      <c r="I42" s="43"/>
    </row>
    <row r="43" spans="2:9" ht="12.75">
      <c r="B43" s="18" t="s">
        <v>83</v>
      </c>
      <c r="D43" s="42"/>
      <c r="E43" s="42">
        <f>E33+E41</f>
        <v>13350</v>
      </c>
      <c r="F43" s="42">
        <f>F33+F41</f>
        <v>7350</v>
      </c>
      <c r="G43" s="42">
        <f>G33+G41</f>
        <v>4050</v>
      </c>
      <c r="H43" s="42">
        <f>H33+H41</f>
        <v>8400</v>
      </c>
      <c r="I43" s="42">
        <f>I33+I41</f>
        <v>2400</v>
      </c>
    </row>
    <row r="44" spans="4:8" ht="12.75">
      <c r="D44" s="42"/>
      <c r="E44" s="42"/>
      <c r="F44" s="42"/>
      <c r="G44" s="42"/>
      <c r="H44" s="42"/>
    </row>
    <row r="45" spans="1:8" ht="12.75">
      <c r="A45" s="22" t="s">
        <v>53</v>
      </c>
      <c r="E45" s="42"/>
      <c r="F45" s="42"/>
      <c r="G45" s="42"/>
      <c r="H45" s="42"/>
    </row>
    <row r="46" spans="2:8" ht="12.75">
      <c r="B46" s="18" t="s">
        <v>39</v>
      </c>
      <c r="D46" s="42"/>
      <c r="E46" s="42"/>
      <c r="F46" s="42"/>
      <c r="G46" s="42"/>
      <c r="H46" s="42"/>
    </row>
    <row r="47" spans="3:9" ht="12.75">
      <c r="C47" s="18" t="s">
        <v>40</v>
      </c>
      <c r="D47" s="42">
        <v>800</v>
      </c>
      <c r="E47" s="42">
        <f>Cap_Unit_Price*GA_Change</f>
        <v>3200</v>
      </c>
      <c r="F47" s="42">
        <f>Cap_Unit_Price*GA_Change</f>
        <v>2400</v>
      </c>
      <c r="G47" s="42">
        <f>Cap_Unit_Price*GA_Change</f>
        <v>0</v>
      </c>
      <c r="H47" s="42">
        <f>Cap_Unit_Price*GA_Change</f>
        <v>0</v>
      </c>
      <c r="I47" s="42">
        <f>Cap_Unit_Price*GA_Change</f>
        <v>0</v>
      </c>
    </row>
    <row r="48" spans="3:9" ht="12.75">
      <c r="C48" s="18" t="s">
        <v>42</v>
      </c>
      <c r="D48" s="43">
        <v>500</v>
      </c>
      <c r="E48" s="43"/>
      <c r="F48" s="43">
        <f>Cap_Unit_Price</f>
        <v>500</v>
      </c>
      <c r="G48" s="43">
        <f>Cap_Unit_Price</f>
        <v>500</v>
      </c>
      <c r="H48" s="43"/>
      <c r="I48" s="43"/>
    </row>
    <row r="49" spans="2:9" ht="12.75">
      <c r="B49" s="18" t="s">
        <v>43</v>
      </c>
      <c r="D49" s="42"/>
      <c r="E49" s="42">
        <f>SUM(E47:E48)</f>
        <v>3200</v>
      </c>
      <c r="F49" s="42">
        <f>SUM(F47:F48)</f>
        <v>2900</v>
      </c>
      <c r="G49" s="42">
        <f>SUM(G47:G48)</f>
        <v>500</v>
      </c>
      <c r="H49" s="42">
        <f>SUM(H47:H48)</f>
        <v>0</v>
      </c>
      <c r="I49" s="42">
        <f>SUM(I47:I48)</f>
        <v>0</v>
      </c>
    </row>
    <row r="50" spans="4:9" ht="12.75">
      <c r="D50" s="42"/>
      <c r="E50" s="42"/>
      <c r="F50" s="42"/>
      <c r="G50" s="42"/>
      <c r="H50" s="42"/>
      <c r="I50" s="42"/>
    </row>
    <row r="51" spans="2:9" ht="12.75">
      <c r="B51" s="18" t="s">
        <v>44</v>
      </c>
      <c r="D51" s="42"/>
      <c r="E51" s="42"/>
      <c r="F51" s="42"/>
      <c r="G51" s="42"/>
      <c r="H51" s="42"/>
      <c r="I51" s="42"/>
    </row>
    <row r="52" spans="3:9" ht="12.75">
      <c r="C52" s="18" t="s">
        <v>45</v>
      </c>
      <c r="D52" s="42">
        <v>400</v>
      </c>
      <c r="E52" s="42">
        <f aca="true" t="shared" si="3" ref="E52:I53">Cap_Unit_Price*GA_Change</f>
        <v>1600</v>
      </c>
      <c r="F52" s="42">
        <f t="shared" si="3"/>
        <v>1200</v>
      </c>
      <c r="G52" s="42">
        <f t="shared" si="3"/>
        <v>0</v>
      </c>
      <c r="H52" s="42">
        <f t="shared" si="3"/>
        <v>0</v>
      </c>
      <c r="I52" s="42">
        <f t="shared" si="3"/>
        <v>0</v>
      </c>
    </row>
    <row r="53" spans="3:9" ht="12.75">
      <c r="C53" s="18" t="s">
        <v>46</v>
      </c>
      <c r="D53" s="42">
        <v>250</v>
      </c>
      <c r="E53" s="42">
        <f>Cap_Unit_Price*GA_Change</f>
        <v>1000</v>
      </c>
      <c r="F53" s="42">
        <f t="shared" si="3"/>
        <v>750</v>
      </c>
      <c r="G53" s="42">
        <f t="shared" si="3"/>
        <v>0</v>
      </c>
      <c r="H53" s="42">
        <f t="shared" si="3"/>
        <v>0</v>
      </c>
      <c r="I53" s="42">
        <f t="shared" si="3"/>
        <v>0</v>
      </c>
    </row>
    <row r="54" spans="3:9" ht="12.75">
      <c r="C54" s="18" t="s">
        <v>50</v>
      </c>
      <c r="D54" s="42">
        <v>1500</v>
      </c>
      <c r="E54" s="42">
        <f>D54</f>
        <v>1500</v>
      </c>
      <c r="F54" s="42">
        <f>E54</f>
        <v>1500</v>
      </c>
      <c r="G54" s="42">
        <f>F54</f>
        <v>1500</v>
      </c>
      <c r="H54" s="42">
        <f>G54</f>
        <v>1500</v>
      </c>
      <c r="I54" s="42">
        <f>H54</f>
        <v>1500</v>
      </c>
    </row>
    <row r="55" spans="3:9" ht="12.75">
      <c r="C55" s="18" t="s">
        <v>51</v>
      </c>
      <c r="D55" s="42">
        <v>6000</v>
      </c>
      <c r="E55" s="42">
        <v>6000</v>
      </c>
      <c r="F55" s="42">
        <v>6000</v>
      </c>
      <c r="G55" s="42">
        <v>6000</v>
      </c>
      <c r="H55" s="42">
        <v>6000</v>
      </c>
      <c r="I55" s="42">
        <v>6000</v>
      </c>
    </row>
    <row r="56" spans="3:9" ht="12.75">
      <c r="C56" s="18" t="s">
        <v>52</v>
      </c>
      <c r="D56" s="42">
        <v>600</v>
      </c>
      <c r="E56" s="42">
        <v>600</v>
      </c>
      <c r="F56" s="42">
        <v>600</v>
      </c>
      <c r="G56" s="42">
        <v>600</v>
      </c>
      <c r="H56" s="42">
        <v>600</v>
      </c>
      <c r="I56" s="42">
        <v>600</v>
      </c>
    </row>
    <row r="57" spans="2:9" ht="12.75">
      <c r="B57" s="18" t="s">
        <v>47</v>
      </c>
      <c r="D57" s="42"/>
      <c r="E57" s="42">
        <f>SUM(E52:E56)</f>
        <v>10700</v>
      </c>
      <c r="F57" s="42">
        <f>SUM(F52:F56)</f>
        <v>10050</v>
      </c>
      <c r="G57" s="42">
        <f>SUM(G52:G56)</f>
        <v>8100</v>
      </c>
      <c r="H57" s="42">
        <f>SUM(H52:H56)</f>
        <v>8100</v>
      </c>
      <c r="I57" s="42">
        <f>SUM(I52:I56)</f>
        <v>8100</v>
      </c>
    </row>
    <row r="58" spans="4:9" ht="12.75">
      <c r="D58" s="42"/>
      <c r="E58" s="43"/>
      <c r="F58" s="43"/>
      <c r="G58" s="43"/>
      <c r="H58" s="43"/>
      <c r="I58" s="43"/>
    </row>
    <row r="59" spans="2:9" ht="12.75">
      <c r="B59" s="18" t="s">
        <v>69</v>
      </c>
      <c r="D59" s="42"/>
      <c r="E59" s="42">
        <f>E49+E57</f>
        <v>13900</v>
      </c>
      <c r="F59" s="42">
        <f>F49+F57</f>
        <v>12950</v>
      </c>
      <c r="G59" s="42">
        <f>G49+G57</f>
        <v>8600</v>
      </c>
      <c r="H59" s="42">
        <f>H49+H57</f>
        <v>8100</v>
      </c>
      <c r="I59" s="42">
        <f>I49+I57</f>
        <v>8100</v>
      </c>
    </row>
    <row r="60" spans="4:8" ht="12.75">
      <c r="D60" s="44"/>
      <c r="E60" s="42"/>
      <c r="F60" s="42"/>
      <c r="G60" s="42"/>
      <c r="H60" s="42"/>
    </row>
    <row r="61" spans="1:8" ht="12.75">
      <c r="A61" s="22" t="s">
        <v>54</v>
      </c>
      <c r="D61" s="44"/>
      <c r="E61" s="42"/>
      <c r="F61" s="42"/>
      <c r="G61" s="42"/>
      <c r="H61" s="42"/>
    </row>
    <row r="62" spans="2:8" ht="12.75">
      <c r="B62" s="18" t="s">
        <v>55</v>
      </c>
      <c r="D62" s="44"/>
      <c r="E62" s="42"/>
      <c r="F62" s="42"/>
      <c r="G62" s="42"/>
      <c r="H62" s="42"/>
    </row>
    <row r="63" spans="2:9" ht="12.75">
      <c r="B63" s="22"/>
      <c r="C63" s="18" t="s">
        <v>174</v>
      </c>
      <c r="D63" s="24">
        <v>8000</v>
      </c>
      <c r="E63" s="42">
        <f aca="true" t="shared" si="4" ref="E63:I66">Cap_Unit_Price</f>
        <v>8000</v>
      </c>
      <c r="F63" s="42">
        <f t="shared" si="4"/>
        <v>8000</v>
      </c>
      <c r="G63" s="42">
        <f t="shared" si="4"/>
        <v>8000</v>
      </c>
      <c r="H63" s="42">
        <f t="shared" si="4"/>
        <v>8000</v>
      </c>
      <c r="I63" s="42">
        <f t="shared" si="4"/>
        <v>8000</v>
      </c>
    </row>
    <row r="64" spans="2:9" ht="12.75">
      <c r="B64" s="22"/>
      <c r="C64" s="18" t="s">
        <v>56</v>
      </c>
      <c r="D64" s="24">
        <v>4000</v>
      </c>
      <c r="E64" s="42">
        <f t="shared" si="4"/>
        <v>4000</v>
      </c>
      <c r="F64" s="42">
        <f t="shared" si="4"/>
        <v>4000</v>
      </c>
      <c r="G64" s="42">
        <f t="shared" si="4"/>
        <v>4000</v>
      </c>
      <c r="H64" s="42">
        <f t="shared" si="4"/>
        <v>4000</v>
      </c>
      <c r="I64" s="42">
        <f t="shared" si="4"/>
        <v>4000</v>
      </c>
    </row>
    <row r="65" spans="2:9" ht="12.75">
      <c r="B65" s="22"/>
      <c r="C65" s="18" t="s">
        <v>57</v>
      </c>
      <c r="D65" s="42">
        <v>300</v>
      </c>
      <c r="E65" s="42">
        <f t="shared" si="4"/>
        <v>300</v>
      </c>
      <c r="F65" s="42">
        <f t="shared" si="4"/>
        <v>300</v>
      </c>
      <c r="G65" s="42">
        <f t="shared" si="4"/>
        <v>300</v>
      </c>
      <c r="H65" s="42">
        <f t="shared" si="4"/>
        <v>300</v>
      </c>
      <c r="I65" s="42">
        <f t="shared" si="4"/>
        <v>300</v>
      </c>
    </row>
    <row r="66" spans="2:9" ht="12.75">
      <c r="B66" s="22"/>
      <c r="C66" s="18" t="s">
        <v>49</v>
      </c>
      <c r="D66" s="44">
        <v>15000</v>
      </c>
      <c r="E66" s="43">
        <f t="shared" si="4"/>
        <v>15000</v>
      </c>
      <c r="F66" s="43">
        <f t="shared" si="4"/>
        <v>15000</v>
      </c>
      <c r="G66" s="43">
        <f t="shared" si="4"/>
        <v>15000</v>
      </c>
      <c r="H66" s="43">
        <f t="shared" si="4"/>
        <v>15000</v>
      </c>
      <c r="I66" s="43">
        <f t="shared" si="4"/>
        <v>15000</v>
      </c>
    </row>
    <row r="67" spans="2:9" ht="12.75">
      <c r="B67" s="18" t="s">
        <v>58</v>
      </c>
      <c r="D67" s="44"/>
      <c r="E67" s="42">
        <f>SUM(E63:E66)</f>
        <v>27300</v>
      </c>
      <c r="F67" s="42">
        <f>SUM(F63:F66)</f>
        <v>27300</v>
      </c>
      <c r="G67" s="42">
        <f>SUM(G63:G66)</f>
        <v>27300</v>
      </c>
      <c r="H67" s="42">
        <f>SUM(H63:H66)</f>
        <v>27300</v>
      </c>
      <c r="I67" s="42">
        <f>SUM(I63:I66)</f>
        <v>27300</v>
      </c>
    </row>
    <row r="68" spans="5:9" ht="12.75">
      <c r="E68" s="42"/>
      <c r="F68" s="42"/>
      <c r="G68" s="42"/>
      <c r="H68" s="42"/>
      <c r="I68" s="42"/>
    </row>
    <row r="69" spans="2:9" ht="12.75">
      <c r="B69" s="18" t="s">
        <v>59</v>
      </c>
      <c r="D69" s="42"/>
      <c r="E69" s="42"/>
      <c r="F69" s="42"/>
      <c r="G69" s="42"/>
      <c r="H69" s="42"/>
      <c r="I69" s="42"/>
    </row>
    <row r="70" spans="3:9" ht="12.75">
      <c r="C70" s="18" t="s">
        <v>60</v>
      </c>
      <c r="D70" s="42">
        <v>15000</v>
      </c>
      <c r="E70" s="42">
        <v>20000</v>
      </c>
      <c r="F70" s="42">
        <v>20000</v>
      </c>
      <c r="G70" s="42">
        <v>20000</v>
      </c>
      <c r="H70" s="42">
        <v>20000</v>
      </c>
      <c r="I70" s="42">
        <v>20000</v>
      </c>
    </row>
    <row r="71" spans="3:9" ht="12.75">
      <c r="C71" s="18" t="s">
        <v>1</v>
      </c>
      <c r="D71" s="42">
        <v>1200</v>
      </c>
      <c r="E71" s="42">
        <f>Cap_Unit_Price</f>
        <v>1200</v>
      </c>
      <c r="F71" s="42">
        <f>Cap_Unit_Price</f>
        <v>1200</v>
      </c>
      <c r="G71" s="42">
        <f>Cap_Unit_Price</f>
        <v>1200</v>
      </c>
      <c r="H71" s="42">
        <f>Cap_Unit_Price</f>
        <v>1200</v>
      </c>
      <c r="I71" s="42">
        <f>Cap_Unit_Price</f>
        <v>1200</v>
      </c>
    </row>
    <row r="72" spans="3:9" ht="12.75">
      <c r="C72" s="18" t="s">
        <v>61</v>
      </c>
      <c r="D72" s="42">
        <v>3000</v>
      </c>
      <c r="E72" s="42">
        <f>Cap_Unit_Price*3</f>
        <v>9000</v>
      </c>
      <c r="F72" s="42">
        <f>Cap_Unit_Price</f>
        <v>3000</v>
      </c>
      <c r="G72" s="42">
        <f>Cap_Unit_Price</f>
        <v>3000</v>
      </c>
      <c r="H72" s="42">
        <f>Cap_Unit_Price*2</f>
        <v>6000</v>
      </c>
      <c r="I72" s="42">
        <f>Cap_Unit_Price*2</f>
        <v>6000</v>
      </c>
    </row>
    <row r="73" spans="3:9" ht="12.75">
      <c r="C73" s="18" t="s">
        <v>62</v>
      </c>
      <c r="D73" s="42">
        <v>2400</v>
      </c>
      <c r="E73" s="43">
        <f>Cap_Unit_Price</f>
        <v>2400</v>
      </c>
      <c r="F73" s="43"/>
      <c r="G73" s="43"/>
      <c r="H73" s="43"/>
      <c r="I73" s="43"/>
    </row>
    <row r="74" spans="2:9" ht="12.75">
      <c r="B74" s="18" t="s">
        <v>63</v>
      </c>
      <c r="D74" s="42"/>
      <c r="E74" s="42">
        <f>SUM(E70:E73)</f>
        <v>32600</v>
      </c>
      <c r="F74" s="42">
        <f>SUM(F70:F73)</f>
        <v>24200</v>
      </c>
      <c r="G74" s="42">
        <f>SUM(G70:G73)</f>
        <v>24200</v>
      </c>
      <c r="H74" s="42">
        <f>SUM(H70:H73)</f>
        <v>27200</v>
      </c>
      <c r="I74" s="42">
        <f>SUM(I70:I73)</f>
        <v>27200</v>
      </c>
    </row>
    <row r="75" spans="4:9" ht="12.75">
      <c r="D75" s="42"/>
      <c r="E75" s="42"/>
      <c r="F75" s="42"/>
      <c r="G75" s="42"/>
      <c r="H75" s="42"/>
      <c r="I75" s="42"/>
    </row>
    <row r="76" spans="2:9" ht="12.75">
      <c r="B76" s="18" t="s">
        <v>44</v>
      </c>
      <c r="D76" s="42"/>
      <c r="E76" s="42"/>
      <c r="F76" s="42"/>
      <c r="G76" s="42"/>
      <c r="H76" s="42"/>
      <c r="I76" s="42"/>
    </row>
    <row r="77" spans="3:9" ht="12.75">
      <c r="C77" s="18" t="s">
        <v>64</v>
      </c>
      <c r="D77" s="42">
        <v>800</v>
      </c>
      <c r="E77" s="42">
        <f>Cap_Unit_Price</f>
        <v>800</v>
      </c>
      <c r="F77" s="42">
        <v>800</v>
      </c>
      <c r="G77" s="42"/>
      <c r="H77" s="42"/>
      <c r="I77" s="42">
        <v>800</v>
      </c>
    </row>
    <row r="78" spans="3:9" ht="12.75">
      <c r="C78" s="18" t="s">
        <v>65</v>
      </c>
      <c r="D78" s="42">
        <v>250</v>
      </c>
      <c r="E78" s="42">
        <f>Cap_Unit_Price*4</f>
        <v>1000</v>
      </c>
      <c r="F78" s="42"/>
      <c r="G78" s="42"/>
      <c r="H78" s="42">
        <f>Cap_Unit_Price*4</f>
        <v>1000</v>
      </c>
      <c r="I78" s="42"/>
    </row>
    <row r="79" spans="3:9" ht="12.75">
      <c r="C79" s="18" t="s">
        <v>50</v>
      </c>
      <c r="D79" s="42">
        <v>2200</v>
      </c>
      <c r="E79" s="42">
        <f>Cap_Unit_Price</f>
        <v>2200</v>
      </c>
      <c r="F79" s="42"/>
      <c r="G79" s="42"/>
      <c r="H79" s="42"/>
      <c r="I79" s="42">
        <f>Cap_Unit_Price</f>
        <v>2200</v>
      </c>
    </row>
    <row r="80" spans="3:9" ht="12.75">
      <c r="C80" s="18" t="s">
        <v>66</v>
      </c>
      <c r="D80" s="42">
        <v>1400</v>
      </c>
      <c r="E80" s="42">
        <f>Cap_Unit_Price</f>
        <v>1400</v>
      </c>
      <c r="F80" s="42"/>
      <c r="G80" s="42"/>
      <c r="H80" s="42"/>
      <c r="I80" s="42"/>
    </row>
    <row r="81" spans="3:9" ht="12.75">
      <c r="C81" s="18" t="s">
        <v>175</v>
      </c>
      <c r="D81" s="42">
        <v>3000</v>
      </c>
      <c r="E81" s="43">
        <f>Cap_Unit_Price</f>
        <v>3000</v>
      </c>
      <c r="F81" s="43"/>
      <c r="G81" s="43">
        <f>Cap_Unit_Price</f>
        <v>3000</v>
      </c>
      <c r="H81" s="43">
        <f>Cap_Unit_Price</f>
        <v>3000</v>
      </c>
      <c r="I81" s="43">
        <f>Cap_Unit_Price</f>
        <v>3000</v>
      </c>
    </row>
    <row r="82" spans="2:9" ht="12.75">
      <c r="B82" s="18" t="s">
        <v>47</v>
      </c>
      <c r="D82" s="42"/>
      <c r="E82" s="42">
        <f>SUM(E77:E81)</f>
        <v>8400</v>
      </c>
      <c r="F82" s="42">
        <f>SUM(F77:F81)</f>
        <v>800</v>
      </c>
      <c r="G82" s="42">
        <f>SUM(G77:G81)</f>
        <v>3000</v>
      </c>
      <c r="H82" s="42">
        <f>SUM(H77:H81)</f>
        <v>4000</v>
      </c>
      <c r="I82" s="42">
        <f>SUM(I77:I81)</f>
        <v>6000</v>
      </c>
    </row>
    <row r="83" spans="4:9" ht="12.75">
      <c r="D83" s="42"/>
      <c r="E83" s="43"/>
      <c r="F83" s="43"/>
      <c r="G83" s="43"/>
      <c r="H83" s="43"/>
      <c r="I83" s="43"/>
    </row>
    <row r="84" spans="2:9" ht="12.75">
      <c r="B84" s="18" t="s">
        <v>70</v>
      </c>
      <c r="D84" s="42"/>
      <c r="E84" s="42">
        <f>E67+E74+E82</f>
        <v>68300</v>
      </c>
      <c r="F84" s="42">
        <f>F67+F74+F82</f>
        <v>52300</v>
      </c>
      <c r="G84" s="42">
        <f>G67+G74+G82</f>
        <v>54500</v>
      </c>
      <c r="H84" s="42">
        <f>H67+H74+H82</f>
        <v>58500</v>
      </c>
      <c r="I84" s="42">
        <f>I67+I74+I82</f>
        <v>60500</v>
      </c>
    </row>
    <row r="85" spans="5:9" ht="12.75">
      <c r="E85" s="43"/>
      <c r="F85" s="43"/>
      <c r="G85" s="43"/>
      <c r="H85" s="43"/>
      <c r="I85" s="43"/>
    </row>
    <row r="86" spans="1:9" ht="12.75">
      <c r="A86" s="18" t="s">
        <v>67</v>
      </c>
      <c r="E86" s="42">
        <f>E27+E43+E59+E84</f>
        <v>153100</v>
      </c>
      <c r="F86" s="42">
        <f>F27+F43+F59+F84</f>
        <v>96650</v>
      </c>
      <c r="G86" s="42">
        <f>G27+G43+G59+G84</f>
        <v>102050</v>
      </c>
      <c r="H86" s="42">
        <f>H27+H43+H59+H84</f>
        <v>75600</v>
      </c>
      <c r="I86" s="42">
        <f>I27+I43+I59+I84</f>
        <v>85600</v>
      </c>
    </row>
    <row r="87" spans="5:8" ht="12.75">
      <c r="E87" s="42"/>
      <c r="F87" s="42"/>
      <c r="G87" s="42"/>
      <c r="H87" s="42"/>
    </row>
    <row r="88" spans="1:8" ht="12.75">
      <c r="A88" s="22" t="s">
        <v>154</v>
      </c>
      <c r="E88" s="42"/>
      <c r="F88" s="42"/>
      <c r="G88" s="42"/>
      <c r="H88" s="42"/>
    </row>
    <row r="89" spans="2:4" ht="12.75">
      <c r="B89" s="18" t="s">
        <v>155</v>
      </c>
      <c r="D89" s="45">
        <v>3</v>
      </c>
    </row>
    <row r="90" spans="3:9" ht="12.75">
      <c r="C90" s="46" t="s">
        <v>156</v>
      </c>
      <c r="E90" s="19" t="str">
        <f>E2</f>
        <v>Year 1</v>
      </c>
      <c r="F90" s="38" t="s">
        <v>165</v>
      </c>
      <c r="G90" s="38" t="s">
        <v>166</v>
      </c>
      <c r="H90" s="38" t="s">
        <v>167</v>
      </c>
      <c r="I90" s="38" t="s">
        <v>167</v>
      </c>
    </row>
    <row r="91" spans="3:9" ht="12.75">
      <c r="C91" s="18" t="str">
        <f>E90</f>
        <v>Year 1</v>
      </c>
      <c r="E91" s="42">
        <f>$E$86/$D$89</f>
        <v>51033.333333333336</v>
      </c>
      <c r="F91" s="42">
        <f>IF(SUM($E91:E91)+($E$86/$D$89)&gt;$E$86,$E$86-SUM($E91:E91),$E$86/$D$89)</f>
        <v>51033.333333333336</v>
      </c>
      <c r="G91" s="42">
        <f>IF(SUM($E91:F91)+($E$86/$D$89)&gt;$E$86,$E$86-SUM($E91:F91),$E$86/$D$89)</f>
        <v>51033.333333333336</v>
      </c>
      <c r="H91" s="42">
        <f>IF(SUM($E91:G91)+($E$86/$D$89)&gt;$E$86,$E$86-SUM($E91:G91),$E$86/$D$89)</f>
        <v>0</v>
      </c>
      <c r="I91" s="42">
        <f>IF(SUM($E91:H91)+($E$86/$D$89)&gt;$E$86,$E$86-SUM($E91:H91),$E$86/$D$89)</f>
        <v>0</v>
      </c>
    </row>
    <row r="92" spans="3:9" ht="12.75">
      <c r="C92" s="18" t="s">
        <v>165</v>
      </c>
      <c r="F92" s="42">
        <f>$F$86/$D$89</f>
        <v>32216.666666666668</v>
      </c>
      <c r="G92" s="42">
        <f>IF(SUM($F92:F92)+($F$86/$D$89)&gt;$F$86,$F$86-SUM($F92:F92),$F$86/$D$89)</f>
        <v>32216.666666666668</v>
      </c>
      <c r="H92" s="42">
        <f>IF(SUM($F92:G92)+($F$86/$D$89)&gt;$F$86,$F$86-SUM($F92:G92),$F$86/$D$89)</f>
        <v>32216.666666666668</v>
      </c>
      <c r="I92" s="42">
        <f>IF(SUM($F92:H92)+($F$86/$D$89)&gt;$F$86,$F$86-SUM($F92:H92),$F$86/$D$89)</f>
        <v>0</v>
      </c>
    </row>
    <row r="93" spans="3:9" ht="12.75">
      <c r="C93" s="18" t="s">
        <v>166</v>
      </c>
      <c r="E93" s="42"/>
      <c r="G93" s="42">
        <f>$G$86/$D$89</f>
        <v>34016.666666666664</v>
      </c>
      <c r="H93" s="42">
        <f>IF(SUM($G93:G93)+($G$86/$D$89)&gt;$G$86,$G$86-SUM($G93:G93),$G$86/$D$89)</f>
        <v>34016.666666666664</v>
      </c>
      <c r="I93" s="42">
        <f>IF(SUM($G93:H93)+($G$86/$D$89)&gt;$G$86,$G$86-SUM($G93:H93),$G$86/$D$89)</f>
        <v>34016.666666666664</v>
      </c>
    </row>
    <row r="94" spans="3:9" ht="12.75">
      <c r="C94" s="18" t="s">
        <v>167</v>
      </c>
      <c r="E94" s="42"/>
      <c r="F94" s="42"/>
      <c r="H94" s="42">
        <f>$H$86/$D$89</f>
        <v>25200</v>
      </c>
      <c r="I94" s="42">
        <f>IF(SUM($H94:H94)+($H$86/$D$89)&gt;$H$86,$H$86-SUM($H94:H94),$H$86/$D$89)</f>
        <v>25200</v>
      </c>
    </row>
    <row r="95" spans="3:9" ht="12.75">
      <c r="C95" s="18" t="s">
        <v>168</v>
      </c>
      <c r="E95" s="42"/>
      <c r="F95" s="42"/>
      <c r="G95" s="42"/>
      <c r="I95" s="42">
        <f>$I$86/$D$89</f>
        <v>28533.333333333332</v>
      </c>
    </row>
    <row r="96" spans="5:8" ht="12.75">
      <c r="E96" s="42"/>
      <c r="F96" s="42"/>
      <c r="G96" s="42"/>
      <c r="H96" s="42"/>
    </row>
    <row r="97" spans="3:9" ht="12.75">
      <c r="C97" s="18" t="s">
        <v>157</v>
      </c>
      <c r="E97" s="42">
        <f>SUM(E91:E96)</f>
        <v>51033.333333333336</v>
      </c>
      <c r="F97" s="42">
        <f>SUM(F91:F96)</f>
        <v>83250</v>
      </c>
      <c r="G97" s="42">
        <f>SUM(G91:G96)</f>
        <v>117266.66666666666</v>
      </c>
      <c r="H97" s="42">
        <f>SUM(H91:H96)</f>
        <v>91433.33333333333</v>
      </c>
      <c r="I97" s="42">
        <f>SUM(I91:I96)</f>
        <v>87750</v>
      </c>
    </row>
    <row r="98" spans="5:8" ht="12.75">
      <c r="E98" s="42"/>
      <c r="F98" s="42"/>
      <c r="G98" s="42"/>
      <c r="H98" s="42"/>
    </row>
    <row r="99" spans="5:8" ht="12.75">
      <c r="E99" s="42"/>
      <c r="F99" s="42"/>
      <c r="G99" s="42"/>
      <c r="H99" s="42"/>
    </row>
    <row r="100" spans="5:8" ht="12.75">
      <c r="E100" s="42"/>
      <c r="F100" s="42"/>
      <c r="G100" s="42"/>
      <c r="H100" s="42"/>
    </row>
    <row r="101" spans="5:8" ht="12.75">
      <c r="E101" s="42"/>
      <c r="F101" s="42"/>
      <c r="G101" s="42"/>
      <c r="H101" s="42"/>
    </row>
    <row r="102" spans="5:8" ht="12.75">
      <c r="E102" s="42"/>
      <c r="F102" s="42"/>
      <c r="G102" s="42"/>
      <c r="H102" s="42"/>
    </row>
    <row r="103" spans="5:8" ht="12.75">
      <c r="E103" s="42"/>
      <c r="F103" s="42"/>
      <c r="G103" s="42"/>
      <c r="H103" s="42"/>
    </row>
    <row r="104" spans="5:8" ht="12.75">
      <c r="E104" s="42"/>
      <c r="F104" s="42"/>
      <c r="G104" s="42"/>
      <c r="H104" s="42"/>
    </row>
    <row r="105" spans="5:8" ht="12.75">
      <c r="E105" s="42"/>
      <c r="F105" s="42"/>
      <c r="G105" s="42"/>
      <c r="H105" s="42"/>
    </row>
    <row r="106" spans="5:8" ht="12.75">
      <c r="E106" s="42"/>
      <c r="F106" s="42"/>
      <c r="G106" s="42"/>
      <c r="H106" s="42"/>
    </row>
    <row r="107" spans="5:8" ht="12.75">
      <c r="E107" s="42"/>
      <c r="F107" s="42"/>
      <c r="G107" s="42"/>
      <c r="H107" s="42"/>
    </row>
    <row r="108" spans="5:8" ht="12.75">
      <c r="E108" s="42"/>
      <c r="F108" s="42"/>
      <c r="G108" s="42"/>
      <c r="H108" s="42"/>
    </row>
    <row r="109" spans="5:8" ht="12.75">
      <c r="E109" s="42"/>
      <c r="F109" s="42"/>
      <c r="G109" s="42"/>
      <c r="H109" s="42"/>
    </row>
    <row r="110" spans="5:8" ht="12.75">
      <c r="E110" s="42"/>
      <c r="F110" s="42"/>
      <c r="G110" s="42"/>
      <c r="H110" s="42"/>
    </row>
    <row r="111" spans="5:8" ht="12.75">
      <c r="E111" s="42"/>
      <c r="F111" s="42"/>
      <c r="G111" s="42"/>
      <c r="H111" s="42"/>
    </row>
    <row r="112" spans="5:8" ht="12.75">
      <c r="E112" s="42"/>
      <c r="F112" s="42"/>
      <c r="G112" s="42"/>
      <c r="H112" s="42"/>
    </row>
    <row r="113" spans="5:8" ht="12.75">
      <c r="E113" s="42"/>
      <c r="F113" s="42"/>
      <c r="G113" s="42"/>
      <c r="H113" s="42"/>
    </row>
    <row r="114" spans="5:8" ht="12.75">
      <c r="E114" s="42"/>
      <c r="F114" s="42"/>
      <c r="G114" s="42"/>
      <c r="H114" s="42"/>
    </row>
    <row r="115" spans="5:8" ht="12.75">
      <c r="E115" s="42"/>
      <c r="F115" s="42"/>
      <c r="G115" s="42"/>
      <c r="H115" s="42"/>
    </row>
    <row r="116" spans="5:8" ht="12.75">
      <c r="E116" s="42"/>
      <c r="F116" s="42"/>
      <c r="G116" s="42"/>
      <c r="H116" s="42"/>
    </row>
    <row r="117" spans="5:8" ht="12.75">
      <c r="E117" s="42"/>
      <c r="F117" s="42"/>
      <c r="G117" s="42"/>
      <c r="H117" s="42"/>
    </row>
    <row r="118" spans="5:8" ht="12.75">
      <c r="E118" s="42"/>
      <c r="F118" s="42"/>
      <c r="G118" s="42"/>
      <c r="H118" s="42"/>
    </row>
    <row r="119" spans="5:8" ht="12.75">
      <c r="E119" s="42"/>
      <c r="F119" s="42"/>
      <c r="G119" s="42"/>
      <c r="H119" s="42"/>
    </row>
    <row r="120" spans="5:8" ht="12.75">
      <c r="E120" s="42"/>
      <c r="F120" s="42"/>
      <c r="G120" s="42"/>
      <c r="H120" s="42"/>
    </row>
    <row r="121" spans="5:8" ht="12.75">
      <c r="E121" s="42"/>
      <c r="F121" s="42"/>
      <c r="G121" s="42"/>
      <c r="H121" s="42"/>
    </row>
    <row r="122" spans="5:8" ht="12.75">
      <c r="E122" s="42"/>
      <c r="F122" s="42"/>
      <c r="G122" s="42"/>
      <c r="H122" s="42"/>
    </row>
    <row r="123" spans="5:8" ht="12.75">
      <c r="E123" s="42"/>
      <c r="F123" s="42"/>
      <c r="G123" s="42"/>
      <c r="H123" s="42"/>
    </row>
    <row r="124" spans="5:8" ht="12.75">
      <c r="E124" s="42"/>
      <c r="F124" s="42"/>
      <c r="G124" s="42"/>
      <c r="H124" s="42"/>
    </row>
    <row r="125" spans="5:8" ht="12.75">
      <c r="E125" s="42"/>
      <c r="F125" s="42"/>
      <c r="G125" s="42"/>
      <c r="H125" s="42"/>
    </row>
    <row r="126" spans="5:8" ht="12.75">
      <c r="E126" s="42"/>
      <c r="F126" s="42"/>
      <c r="G126" s="42"/>
      <c r="H126" s="42"/>
    </row>
    <row r="127" spans="5:8" ht="12.75">
      <c r="E127" s="42"/>
      <c r="F127" s="42"/>
      <c r="G127" s="42"/>
      <c r="H127" s="42"/>
    </row>
    <row r="128" spans="5:8" ht="12.75">
      <c r="E128" s="42"/>
      <c r="F128" s="42"/>
      <c r="G128" s="42"/>
      <c r="H128" s="42"/>
    </row>
    <row r="129" spans="5:8" ht="12.75">
      <c r="E129" s="42"/>
      <c r="F129" s="42"/>
      <c r="G129" s="42"/>
      <c r="H129" s="42"/>
    </row>
    <row r="130" spans="5:8" ht="12.75">
      <c r="E130" s="42"/>
      <c r="F130" s="42"/>
      <c r="G130" s="42"/>
      <c r="H130" s="42"/>
    </row>
    <row r="131" spans="5:8" ht="12.75">
      <c r="E131" s="42"/>
      <c r="F131" s="42"/>
      <c r="G131" s="42"/>
      <c r="H131" s="42"/>
    </row>
    <row r="132" spans="5:8" ht="12.75">
      <c r="E132" s="42"/>
      <c r="F132" s="42"/>
      <c r="G132" s="42"/>
      <c r="H132" s="42"/>
    </row>
    <row r="133" spans="5:8" ht="12.75">
      <c r="E133" s="42"/>
      <c r="F133" s="42"/>
      <c r="G133" s="42"/>
      <c r="H133" s="42"/>
    </row>
    <row r="134" spans="5:8" ht="12.75">
      <c r="E134" s="42"/>
      <c r="F134" s="42"/>
      <c r="G134" s="42"/>
      <c r="H134" s="42"/>
    </row>
    <row r="135" spans="5:8" ht="12.75">
      <c r="E135" s="42"/>
      <c r="F135" s="42"/>
      <c r="G135" s="42"/>
      <c r="H135" s="42"/>
    </row>
    <row r="136" spans="5:8" ht="12.75">
      <c r="E136" s="42"/>
      <c r="F136" s="42"/>
      <c r="G136" s="42"/>
      <c r="H136" s="42"/>
    </row>
    <row r="137" spans="5:8" ht="12.75">
      <c r="E137" s="42"/>
      <c r="F137" s="42"/>
      <c r="G137" s="42"/>
      <c r="H137" s="42"/>
    </row>
    <row r="138" spans="5:8" ht="12.75">
      <c r="E138" s="42"/>
      <c r="F138" s="42"/>
      <c r="G138" s="42"/>
      <c r="H138" s="42"/>
    </row>
    <row r="139" spans="5:8" ht="12.75">
      <c r="E139" s="42"/>
      <c r="F139" s="42"/>
      <c r="G139" s="42"/>
      <c r="H139" s="42"/>
    </row>
    <row r="140" spans="5:8" ht="12.75">
      <c r="E140" s="42"/>
      <c r="F140" s="42"/>
      <c r="G140" s="42"/>
      <c r="H140" s="42"/>
    </row>
    <row r="141" spans="5:8" ht="12.75">
      <c r="E141" s="42"/>
      <c r="F141" s="42"/>
      <c r="G141" s="42"/>
      <c r="H141" s="42"/>
    </row>
    <row r="142" spans="5:8" ht="12.75">
      <c r="E142" s="42"/>
      <c r="F142" s="42"/>
      <c r="G142" s="42"/>
      <c r="H142" s="42"/>
    </row>
    <row r="143" spans="5:8" ht="12.75">
      <c r="E143" s="42"/>
      <c r="F143" s="42"/>
      <c r="G143" s="42"/>
      <c r="H143" s="42"/>
    </row>
    <row r="144" spans="5:8" ht="12.75">
      <c r="E144" s="42"/>
      <c r="F144" s="42"/>
      <c r="G144" s="42"/>
      <c r="H144" s="42"/>
    </row>
    <row r="145" spans="5:8" ht="12.75">
      <c r="E145" s="42"/>
      <c r="F145" s="42"/>
      <c r="G145" s="42"/>
      <c r="H145" s="42"/>
    </row>
    <row r="146" spans="5:8" ht="12.75">
      <c r="E146" s="42"/>
      <c r="F146" s="42"/>
      <c r="G146" s="42"/>
      <c r="H146" s="42"/>
    </row>
    <row r="147" spans="5:8" ht="12.75">
      <c r="E147" s="42"/>
      <c r="F147" s="42"/>
      <c r="G147" s="42"/>
      <c r="H147" s="42"/>
    </row>
    <row r="148" spans="5:8" ht="12.75">
      <c r="E148" s="42"/>
      <c r="F148" s="42"/>
      <c r="G148" s="42"/>
      <c r="H148" s="42"/>
    </row>
    <row r="149" spans="5:8" ht="12.75">
      <c r="E149" s="42"/>
      <c r="F149" s="42"/>
      <c r="G149" s="42"/>
      <c r="H149" s="42"/>
    </row>
    <row r="150" spans="5:8" ht="12.75">
      <c r="E150" s="42"/>
      <c r="F150" s="42"/>
      <c r="G150" s="42"/>
      <c r="H150" s="42"/>
    </row>
    <row r="151" spans="5:8" ht="12.75">
      <c r="E151" s="42"/>
      <c r="F151" s="42"/>
      <c r="G151" s="42"/>
      <c r="H151" s="42"/>
    </row>
    <row r="152" spans="5:8" ht="12.75">
      <c r="E152" s="42"/>
      <c r="F152" s="42"/>
      <c r="G152" s="42"/>
      <c r="H152" s="42"/>
    </row>
    <row r="153" spans="5:8" ht="12.75">
      <c r="E153" s="42"/>
      <c r="F153" s="42"/>
      <c r="G153" s="42"/>
      <c r="H153" s="42"/>
    </row>
    <row r="154" spans="5:8" ht="12.75">
      <c r="E154" s="42"/>
      <c r="F154" s="42"/>
      <c r="G154" s="42"/>
      <c r="H154" s="42"/>
    </row>
    <row r="155" spans="5:8" ht="12.75">
      <c r="E155" s="42"/>
      <c r="F155" s="42"/>
      <c r="G155" s="42"/>
      <c r="H155" s="42"/>
    </row>
    <row r="156" spans="5:8" ht="12.75">
      <c r="E156" s="42"/>
      <c r="F156" s="42"/>
      <c r="G156" s="42"/>
      <c r="H156" s="42"/>
    </row>
    <row r="157" spans="5:8" ht="12.75">
      <c r="E157" s="42"/>
      <c r="F157" s="42"/>
      <c r="G157" s="42"/>
      <c r="H157" s="42"/>
    </row>
    <row r="158" spans="5:8" ht="12.75">
      <c r="E158" s="42"/>
      <c r="F158" s="42"/>
      <c r="G158" s="42"/>
      <c r="H158" s="42"/>
    </row>
    <row r="159" spans="5:8" ht="12.75">
      <c r="E159" s="42"/>
      <c r="F159" s="42"/>
      <c r="G159" s="42"/>
      <c r="H159" s="42"/>
    </row>
    <row r="160" spans="5:8" ht="12.75">
      <c r="E160" s="42"/>
      <c r="F160" s="42"/>
      <c r="G160" s="42"/>
      <c r="H160" s="42"/>
    </row>
    <row r="161" spans="5:8" ht="12.75">
      <c r="E161" s="42"/>
      <c r="F161" s="42"/>
      <c r="G161" s="42"/>
      <c r="H161" s="42"/>
    </row>
    <row r="162" spans="5:8" ht="12.75">
      <c r="E162" s="42"/>
      <c r="F162" s="42"/>
      <c r="G162" s="42"/>
      <c r="H162" s="42"/>
    </row>
    <row r="163" spans="5:8" ht="12.75">
      <c r="E163" s="42"/>
      <c r="F163" s="42"/>
      <c r="G163" s="42"/>
      <c r="H163" s="42"/>
    </row>
    <row r="164" spans="5:8" ht="12.75">
      <c r="E164" s="42"/>
      <c r="F164" s="42"/>
      <c r="G164" s="42"/>
      <c r="H164" s="42"/>
    </row>
    <row r="165" spans="5:8" ht="12.75">
      <c r="E165" s="42"/>
      <c r="F165" s="42"/>
      <c r="G165" s="42"/>
      <c r="H165" s="42"/>
    </row>
    <row r="166" spans="5:8" ht="12.75">
      <c r="E166" s="42"/>
      <c r="F166" s="42"/>
      <c r="G166" s="42"/>
      <c r="H166" s="42"/>
    </row>
    <row r="167" spans="5:8" ht="12.75">
      <c r="E167" s="42"/>
      <c r="F167" s="42"/>
      <c r="G167" s="42"/>
      <c r="H167" s="42"/>
    </row>
    <row r="168" spans="5:8" ht="12.75">
      <c r="E168" s="42"/>
      <c r="F168" s="42"/>
      <c r="G168" s="42"/>
      <c r="H168" s="42"/>
    </row>
    <row r="169" spans="5:8" ht="12.75">
      <c r="E169" s="42"/>
      <c r="F169" s="42"/>
      <c r="G169" s="42"/>
      <c r="H169" s="42"/>
    </row>
    <row r="170" spans="5:8" ht="12.75">
      <c r="E170" s="42"/>
      <c r="F170" s="42"/>
      <c r="G170" s="42"/>
      <c r="H170" s="42"/>
    </row>
    <row r="171" spans="5:8" ht="12.75">
      <c r="E171" s="42"/>
      <c r="F171" s="42"/>
      <c r="G171" s="42"/>
      <c r="H171" s="42"/>
    </row>
    <row r="172" spans="5:8" ht="12.75">
      <c r="E172" s="42"/>
      <c r="F172" s="42"/>
      <c r="G172" s="42"/>
      <c r="H172" s="42"/>
    </row>
    <row r="173" spans="5:8" ht="12.75">
      <c r="E173" s="42"/>
      <c r="F173" s="42"/>
      <c r="G173" s="42"/>
      <c r="H173" s="42"/>
    </row>
    <row r="174" spans="5:8" ht="12.75">
      <c r="E174" s="42"/>
      <c r="F174" s="42"/>
      <c r="G174" s="42"/>
      <c r="H174" s="42"/>
    </row>
    <row r="175" spans="5:8" ht="12.75">
      <c r="E175" s="42"/>
      <c r="F175" s="42"/>
      <c r="G175" s="42"/>
      <c r="H175" s="42"/>
    </row>
    <row r="176" spans="5:8" ht="12.75">
      <c r="E176" s="42"/>
      <c r="F176" s="42"/>
      <c r="G176" s="42"/>
      <c r="H176" s="42"/>
    </row>
    <row r="177" spans="5:8" ht="12.75">
      <c r="E177" s="42"/>
      <c r="F177" s="42"/>
      <c r="G177" s="42"/>
      <c r="H177" s="42"/>
    </row>
    <row r="178" spans="5:8" ht="12.75">
      <c r="E178" s="42"/>
      <c r="F178" s="42"/>
      <c r="G178" s="42"/>
      <c r="H178" s="42"/>
    </row>
    <row r="179" spans="5:8" ht="12.75">
      <c r="E179" s="42"/>
      <c r="F179" s="42"/>
      <c r="G179" s="42"/>
      <c r="H179" s="42"/>
    </row>
    <row r="180" spans="5:8" ht="12.75">
      <c r="E180" s="42"/>
      <c r="F180" s="42"/>
      <c r="G180" s="42"/>
      <c r="H180" s="42"/>
    </row>
    <row r="181" spans="5:8" ht="12.75">
      <c r="E181" s="42"/>
      <c r="F181" s="42"/>
      <c r="G181" s="42"/>
      <c r="H181" s="42"/>
    </row>
    <row r="182" spans="5:8" ht="12.75">
      <c r="E182" s="42"/>
      <c r="F182" s="42"/>
      <c r="G182" s="42"/>
      <c r="H182" s="42"/>
    </row>
    <row r="183" spans="5:8" ht="12.75">
      <c r="E183" s="42"/>
      <c r="F183" s="42"/>
      <c r="G183" s="42"/>
      <c r="H183" s="42"/>
    </row>
    <row r="184" spans="5:8" ht="12.75">
      <c r="E184" s="42"/>
      <c r="F184" s="42"/>
      <c r="G184" s="42"/>
      <c r="H184" s="42"/>
    </row>
    <row r="185" spans="5:8" ht="12.75">
      <c r="E185" s="42"/>
      <c r="F185" s="42"/>
      <c r="G185" s="42"/>
      <c r="H185" s="42"/>
    </row>
    <row r="186" spans="5:8" ht="12.75">
      <c r="E186" s="42"/>
      <c r="F186" s="42"/>
      <c r="G186" s="42"/>
      <c r="H186" s="42"/>
    </row>
    <row r="187" spans="5:8" ht="12.75">
      <c r="E187" s="42"/>
      <c r="F187" s="42"/>
      <c r="G187" s="42"/>
      <c r="H187" s="42"/>
    </row>
    <row r="188" spans="5:8" ht="12.75">
      <c r="E188" s="42"/>
      <c r="F188" s="42"/>
      <c r="G188" s="42"/>
      <c r="H188" s="42"/>
    </row>
    <row r="189" spans="5:8" ht="12.75">
      <c r="E189" s="42"/>
      <c r="F189" s="42"/>
      <c r="G189" s="42"/>
      <c r="H189" s="42"/>
    </row>
    <row r="190" spans="5:8" ht="12.75">
      <c r="E190" s="42"/>
      <c r="F190" s="42"/>
      <c r="G190" s="42"/>
      <c r="H190" s="42"/>
    </row>
    <row r="191" spans="5:8" ht="12.75">
      <c r="E191" s="42"/>
      <c r="F191" s="42"/>
      <c r="G191" s="42"/>
      <c r="H191" s="42"/>
    </row>
    <row r="192" spans="5:8" ht="12.75">
      <c r="E192" s="42"/>
      <c r="F192" s="42"/>
      <c r="G192" s="42"/>
      <c r="H192" s="42"/>
    </row>
    <row r="193" spans="5:8" ht="12.75">
      <c r="E193" s="42"/>
      <c r="F193" s="42"/>
      <c r="G193" s="42"/>
      <c r="H193" s="42"/>
    </row>
    <row r="194" spans="5:8" ht="12.75">
      <c r="E194" s="42"/>
      <c r="F194" s="42"/>
      <c r="G194" s="42"/>
      <c r="H194" s="42"/>
    </row>
    <row r="195" spans="5:8" ht="12.75">
      <c r="E195" s="42"/>
      <c r="F195" s="42"/>
      <c r="G195" s="42"/>
      <c r="H195" s="42"/>
    </row>
    <row r="196" spans="5:8" ht="12.75">
      <c r="E196" s="42"/>
      <c r="F196" s="42"/>
      <c r="G196" s="42"/>
      <c r="H196" s="42"/>
    </row>
    <row r="197" spans="5:8" ht="12.75">
      <c r="E197" s="42"/>
      <c r="F197" s="42"/>
      <c r="G197" s="42"/>
      <c r="H197" s="42"/>
    </row>
    <row r="198" spans="5:8" ht="12.75">
      <c r="E198" s="42"/>
      <c r="F198" s="42"/>
      <c r="G198" s="42"/>
      <c r="H198" s="42"/>
    </row>
    <row r="199" spans="5:8" ht="12.75">
      <c r="E199" s="42"/>
      <c r="F199" s="42"/>
      <c r="G199" s="42"/>
      <c r="H199" s="42"/>
    </row>
    <row r="200" spans="5:8" ht="12.75">
      <c r="E200" s="42"/>
      <c r="F200" s="42"/>
      <c r="G200" s="42"/>
      <c r="H200" s="42"/>
    </row>
    <row r="201" spans="5:8" ht="12.75">
      <c r="E201" s="42"/>
      <c r="F201" s="42"/>
      <c r="G201" s="42"/>
      <c r="H201" s="42"/>
    </row>
    <row r="202" spans="5:8" ht="12.75">
      <c r="E202" s="42"/>
      <c r="F202" s="42"/>
      <c r="G202" s="42"/>
      <c r="H202" s="42"/>
    </row>
    <row r="203" spans="5:8" ht="12.75">
      <c r="E203" s="42"/>
      <c r="F203" s="42"/>
      <c r="G203" s="42"/>
      <c r="H203" s="42"/>
    </row>
    <row r="204" spans="5:8" ht="12.75">
      <c r="E204" s="42"/>
      <c r="F204" s="42"/>
      <c r="G204" s="42"/>
      <c r="H204" s="42"/>
    </row>
    <row r="205" spans="5:8" ht="12.75">
      <c r="E205" s="42"/>
      <c r="F205" s="42"/>
      <c r="G205" s="42"/>
      <c r="H205" s="42"/>
    </row>
    <row r="206" spans="5:8" ht="12.75">
      <c r="E206" s="42"/>
      <c r="F206" s="42"/>
      <c r="G206" s="42"/>
      <c r="H206" s="42"/>
    </row>
    <row r="207" spans="5:8" ht="12.75">
      <c r="E207" s="42"/>
      <c r="F207" s="42"/>
      <c r="G207" s="42"/>
      <c r="H207" s="42"/>
    </row>
    <row r="208" spans="5:8" ht="12.75">
      <c r="E208" s="42"/>
      <c r="F208" s="42"/>
      <c r="G208" s="42"/>
      <c r="H208" s="42"/>
    </row>
    <row r="209" spans="5:8" ht="12.75">
      <c r="E209" s="42"/>
      <c r="F209" s="42"/>
      <c r="G209" s="42"/>
      <c r="H209" s="42"/>
    </row>
    <row r="210" spans="5:8" ht="12.75">
      <c r="E210" s="42"/>
      <c r="F210" s="42"/>
      <c r="G210" s="42"/>
      <c r="H210" s="42"/>
    </row>
    <row r="211" spans="5:8" ht="12.75">
      <c r="E211" s="42"/>
      <c r="F211" s="42"/>
      <c r="G211" s="42"/>
      <c r="H211" s="42"/>
    </row>
    <row r="212" spans="5:8" ht="12.75">
      <c r="E212" s="42"/>
      <c r="F212" s="42"/>
      <c r="G212" s="42"/>
      <c r="H212" s="42"/>
    </row>
    <row r="213" spans="5:8" ht="12.75">
      <c r="E213" s="42"/>
      <c r="F213" s="42"/>
      <c r="G213" s="42"/>
      <c r="H213" s="42"/>
    </row>
    <row r="214" spans="5:8" ht="12.75">
      <c r="E214" s="42"/>
      <c r="F214" s="42"/>
      <c r="G214" s="42"/>
      <c r="H214" s="42"/>
    </row>
    <row r="215" spans="5:8" ht="12.75">
      <c r="E215" s="42"/>
      <c r="F215" s="42"/>
      <c r="G215" s="42"/>
      <c r="H215" s="42"/>
    </row>
    <row r="216" spans="5:8" ht="12.75">
      <c r="E216" s="42"/>
      <c r="F216" s="42"/>
      <c r="G216" s="42"/>
      <c r="H216" s="42"/>
    </row>
    <row r="217" spans="5:8" ht="12.75">
      <c r="E217" s="42"/>
      <c r="F217" s="42"/>
      <c r="G217" s="42"/>
      <c r="H217" s="42"/>
    </row>
    <row r="218" spans="5:8" ht="12.75">
      <c r="E218" s="42"/>
      <c r="F218" s="42"/>
      <c r="G218" s="42"/>
      <c r="H218" s="42"/>
    </row>
    <row r="219" spans="5:8" ht="12.75">
      <c r="E219" s="42"/>
      <c r="F219" s="42"/>
      <c r="G219" s="42"/>
      <c r="H219" s="42"/>
    </row>
    <row r="220" spans="5:8" ht="12.75">
      <c r="E220" s="42"/>
      <c r="F220" s="42"/>
      <c r="G220" s="42"/>
      <c r="H220" s="42"/>
    </row>
    <row r="221" spans="5:8" ht="12.75">
      <c r="E221" s="42"/>
      <c r="F221" s="42"/>
      <c r="G221" s="42"/>
      <c r="H221" s="42"/>
    </row>
    <row r="222" spans="5:8" ht="12.75">
      <c r="E222" s="42"/>
      <c r="F222" s="42"/>
      <c r="G222" s="42"/>
      <c r="H222" s="42"/>
    </row>
    <row r="223" spans="5:8" ht="12.75">
      <c r="E223" s="42"/>
      <c r="F223" s="42"/>
      <c r="G223" s="42"/>
      <c r="H223" s="42"/>
    </row>
    <row r="224" spans="5:8" ht="12.75">
      <c r="E224" s="42"/>
      <c r="F224" s="42"/>
      <c r="G224" s="42"/>
      <c r="H224" s="42"/>
    </row>
    <row r="225" spans="5:8" ht="12.75">
      <c r="E225" s="42"/>
      <c r="F225" s="42"/>
      <c r="G225" s="42"/>
      <c r="H225" s="42"/>
    </row>
    <row r="226" spans="5:8" ht="12.75">
      <c r="E226" s="42"/>
      <c r="F226" s="42"/>
      <c r="G226" s="42"/>
      <c r="H226" s="42"/>
    </row>
    <row r="227" spans="5:8" ht="12.75">
      <c r="E227" s="42"/>
      <c r="F227" s="42"/>
      <c r="G227" s="42"/>
      <c r="H227" s="42"/>
    </row>
    <row r="228" spans="5:8" ht="12.75">
      <c r="E228" s="42"/>
      <c r="F228" s="42"/>
      <c r="G228" s="42"/>
      <c r="H228" s="42"/>
    </row>
    <row r="229" spans="5:8" ht="12.75">
      <c r="E229" s="42"/>
      <c r="F229" s="42"/>
      <c r="G229" s="42"/>
      <c r="H229" s="42"/>
    </row>
    <row r="230" spans="5:8" ht="12.75">
      <c r="E230" s="42"/>
      <c r="F230" s="42"/>
      <c r="G230" s="42"/>
      <c r="H230" s="42"/>
    </row>
    <row r="231" spans="5:8" ht="12.75">
      <c r="E231" s="42"/>
      <c r="F231" s="42"/>
      <c r="G231" s="42"/>
      <c r="H231" s="42"/>
    </row>
    <row r="232" spans="5:8" ht="12.75">
      <c r="E232" s="42"/>
      <c r="F232" s="42"/>
      <c r="G232" s="42"/>
      <c r="H232" s="42"/>
    </row>
    <row r="233" spans="5:8" ht="12.75">
      <c r="E233" s="42"/>
      <c r="F233" s="42"/>
      <c r="G233" s="42"/>
      <c r="H233" s="42"/>
    </row>
    <row r="234" spans="5:8" ht="12.75">
      <c r="E234" s="42"/>
      <c r="F234" s="42"/>
      <c r="G234" s="42"/>
      <c r="H234" s="42"/>
    </row>
    <row r="235" spans="5:8" ht="12.75">
      <c r="E235" s="42"/>
      <c r="F235" s="42"/>
      <c r="G235" s="42"/>
      <c r="H235" s="42"/>
    </row>
    <row r="236" spans="5:8" ht="12.75">
      <c r="E236" s="42"/>
      <c r="F236" s="42"/>
      <c r="G236" s="42"/>
      <c r="H236" s="42"/>
    </row>
    <row r="237" spans="5:8" ht="12.75">
      <c r="E237" s="42"/>
      <c r="F237" s="42"/>
      <c r="G237" s="42"/>
      <c r="H237" s="42"/>
    </row>
    <row r="238" spans="5:8" ht="12.75">
      <c r="E238" s="42"/>
      <c r="F238" s="42"/>
      <c r="G238" s="42"/>
      <c r="H238" s="42"/>
    </row>
    <row r="239" spans="5:8" ht="12.75">
      <c r="E239" s="42"/>
      <c r="F239" s="42"/>
      <c r="G239" s="42"/>
      <c r="H239" s="42"/>
    </row>
    <row r="240" spans="5:8" ht="12.75">
      <c r="E240" s="42"/>
      <c r="F240" s="42"/>
      <c r="G240" s="42"/>
      <c r="H240" s="42"/>
    </row>
    <row r="241" spans="5:8" ht="12.75">
      <c r="E241" s="42"/>
      <c r="F241" s="42"/>
      <c r="G241" s="42"/>
      <c r="H241" s="42"/>
    </row>
    <row r="242" spans="5:8" ht="12.75">
      <c r="E242" s="42"/>
      <c r="F242" s="42"/>
      <c r="G242" s="42"/>
      <c r="H242" s="42"/>
    </row>
    <row r="243" spans="5:8" ht="12.75">
      <c r="E243" s="42"/>
      <c r="F243" s="42"/>
      <c r="G243" s="42"/>
      <c r="H243" s="42"/>
    </row>
    <row r="244" spans="5:8" ht="12.75">
      <c r="E244" s="42"/>
      <c r="F244" s="42"/>
      <c r="G244" s="42"/>
      <c r="H244" s="42"/>
    </row>
    <row r="245" spans="5:8" ht="12.75">
      <c r="E245" s="42"/>
      <c r="F245" s="42"/>
      <c r="G245" s="42"/>
      <c r="H245" s="42"/>
    </row>
    <row r="246" spans="5:8" ht="12.75">
      <c r="E246" s="42"/>
      <c r="F246" s="42"/>
      <c r="G246" s="42"/>
      <c r="H246" s="42"/>
    </row>
    <row r="247" spans="5:8" ht="12.75">
      <c r="E247" s="42"/>
      <c r="F247" s="42"/>
      <c r="G247" s="42"/>
      <c r="H247" s="42"/>
    </row>
    <row r="248" spans="5:8" ht="12.75">
      <c r="E248" s="42"/>
      <c r="F248" s="42"/>
      <c r="G248" s="42"/>
      <c r="H248" s="42"/>
    </row>
    <row r="249" spans="5:8" ht="12.75">
      <c r="E249" s="42"/>
      <c r="F249" s="42"/>
      <c r="G249" s="42"/>
      <c r="H249" s="42"/>
    </row>
    <row r="250" spans="5:8" ht="12.75">
      <c r="E250" s="42"/>
      <c r="F250" s="42"/>
      <c r="G250" s="42"/>
      <c r="H250" s="42"/>
    </row>
    <row r="251" spans="5:8" ht="12.75">
      <c r="E251" s="42"/>
      <c r="F251" s="42"/>
      <c r="G251" s="42"/>
      <c r="H251" s="42"/>
    </row>
    <row r="252" spans="5:8" ht="12.75">
      <c r="E252" s="42"/>
      <c r="F252" s="42"/>
      <c r="G252" s="42"/>
      <c r="H252" s="42"/>
    </row>
    <row r="253" spans="5:8" ht="12.75">
      <c r="E253" s="42"/>
      <c r="F253" s="42"/>
      <c r="G253" s="42"/>
      <c r="H253" s="42"/>
    </row>
    <row r="254" spans="5:8" ht="12.75">
      <c r="E254" s="42"/>
      <c r="F254" s="42"/>
      <c r="G254" s="42"/>
      <c r="H254" s="42"/>
    </row>
    <row r="255" spans="5:8" ht="12.75">
      <c r="E255" s="42"/>
      <c r="F255" s="42"/>
      <c r="G255" s="42"/>
      <c r="H255" s="42"/>
    </row>
    <row r="256" spans="5:8" ht="12.75">
      <c r="E256" s="42"/>
      <c r="F256" s="42"/>
      <c r="G256" s="42"/>
      <c r="H256" s="42"/>
    </row>
    <row r="257" spans="5:8" ht="12.75">
      <c r="E257" s="42"/>
      <c r="F257" s="42"/>
      <c r="G257" s="42"/>
      <c r="H257" s="42"/>
    </row>
    <row r="258" spans="5:8" ht="12.75">
      <c r="E258" s="42"/>
      <c r="F258" s="42"/>
      <c r="G258" s="42"/>
      <c r="H258" s="42"/>
    </row>
    <row r="259" spans="5:8" ht="12.75">
      <c r="E259" s="42"/>
      <c r="F259" s="42"/>
      <c r="G259" s="42"/>
      <c r="H259" s="42"/>
    </row>
    <row r="260" spans="5:8" ht="12.75">
      <c r="E260" s="42"/>
      <c r="F260" s="42"/>
      <c r="G260" s="42"/>
      <c r="H260" s="42"/>
    </row>
    <row r="261" spans="5:8" ht="12.75">
      <c r="E261" s="42"/>
      <c r="F261" s="42"/>
      <c r="G261" s="42"/>
      <c r="H261" s="42"/>
    </row>
    <row r="262" spans="5:8" ht="12.75">
      <c r="E262" s="42"/>
      <c r="F262" s="42"/>
      <c r="G262" s="42"/>
      <c r="H262" s="42"/>
    </row>
    <row r="263" spans="5:8" ht="12.75">
      <c r="E263" s="42"/>
      <c r="F263" s="42"/>
      <c r="G263" s="42"/>
      <c r="H263" s="42"/>
    </row>
    <row r="264" spans="5:8" ht="12.75">
      <c r="E264" s="42"/>
      <c r="F264" s="42"/>
      <c r="G264" s="42"/>
      <c r="H264" s="42"/>
    </row>
    <row r="265" spans="5:8" ht="12.75">
      <c r="E265" s="42"/>
      <c r="F265" s="42"/>
      <c r="G265" s="42"/>
      <c r="H265" s="42"/>
    </row>
    <row r="266" spans="5:8" ht="12.75">
      <c r="E266" s="42"/>
      <c r="F266" s="42"/>
      <c r="G266" s="42"/>
      <c r="H266" s="42"/>
    </row>
    <row r="267" spans="5:8" ht="12.75">
      <c r="E267" s="42"/>
      <c r="F267" s="42"/>
      <c r="G267" s="42"/>
      <c r="H267" s="42"/>
    </row>
    <row r="268" spans="5:8" ht="12.75">
      <c r="E268" s="42"/>
      <c r="F268" s="42"/>
      <c r="G268" s="42"/>
      <c r="H268" s="42"/>
    </row>
    <row r="269" spans="5:8" ht="12.75">
      <c r="E269" s="42"/>
      <c r="F269" s="42"/>
      <c r="G269" s="42"/>
      <c r="H269" s="42"/>
    </row>
    <row r="270" spans="5:8" ht="12.75">
      <c r="E270" s="42"/>
      <c r="F270" s="42"/>
      <c r="G270" s="42"/>
      <c r="H270" s="42"/>
    </row>
    <row r="271" spans="5:8" ht="12.75">
      <c r="E271" s="42"/>
      <c r="F271" s="42"/>
      <c r="G271" s="42"/>
      <c r="H271" s="42"/>
    </row>
    <row r="272" spans="5:8" ht="12.75">
      <c r="E272" s="42"/>
      <c r="F272" s="42"/>
      <c r="G272" s="42"/>
      <c r="H272" s="42"/>
    </row>
    <row r="273" spans="5:8" ht="12.75">
      <c r="E273" s="42"/>
      <c r="F273" s="42"/>
      <c r="G273" s="42"/>
      <c r="H273" s="42"/>
    </row>
    <row r="274" spans="5:8" ht="12.75">
      <c r="E274" s="42"/>
      <c r="F274" s="42"/>
      <c r="G274" s="42"/>
      <c r="H274" s="42"/>
    </row>
    <row r="275" spans="5:8" ht="12.75">
      <c r="E275" s="42"/>
      <c r="F275" s="42"/>
      <c r="G275" s="42"/>
      <c r="H275" s="42"/>
    </row>
    <row r="276" spans="5:8" ht="12.75">
      <c r="E276" s="42"/>
      <c r="F276" s="42"/>
      <c r="G276" s="42"/>
      <c r="H276" s="42"/>
    </row>
    <row r="277" spans="5:8" ht="12.75">
      <c r="E277" s="42"/>
      <c r="F277" s="42"/>
      <c r="G277" s="42"/>
      <c r="H277" s="42"/>
    </row>
    <row r="278" spans="5:8" ht="12.75">
      <c r="E278" s="42"/>
      <c r="F278" s="42"/>
      <c r="G278" s="42"/>
      <c r="H278" s="42"/>
    </row>
    <row r="279" spans="5:8" ht="12.75">
      <c r="E279" s="42"/>
      <c r="F279" s="42"/>
      <c r="G279" s="42"/>
      <c r="H279" s="42"/>
    </row>
    <row r="280" spans="5:8" ht="12.75">
      <c r="E280" s="42"/>
      <c r="F280" s="42"/>
      <c r="G280" s="42"/>
      <c r="H280" s="42"/>
    </row>
    <row r="281" spans="5:8" ht="12.75">
      <c r="E281" s="42"/>
      <c r="F281" s="42"/>
      <c r="G281" s="42"/>
      <c r="H281" s="42"/>
    </row>
    <row r="282" spans="5:8" ht="12.75">
      <c r="E282" s="42"/>
      <c r="F282" s="42"/>
      <c r="G282" s="42"/>
      <c r="H282" s="42"/>
    </row>
    <row r="283" spans="5:8" ht="12.75">
      <c r="E283" s="42"/>
      <c r="F283" s="42"/>
      <c r="G283" s="42"/>
      <c r="H283" s="42"/>
    </row>
    <row r="284" spans="5:8" ht="12.75">
      <c r="E284" s="42"/>
      <c r="F284" s="42"/>
      <c r="G284" s="42"/>
      <c r="H284" s="42"/>
    </row>
    <row r="285" spans="5:8" ht="12.75">
      <c r="E285" s="42"/>
      <c r="F285" s="42"/>
      <c r="G285" s="42"/>
      <c r="H285" s="42"/>
    </row>
    <row r="286" spans="5:8" ht="12.75">
      <c r="E286" s="42"/>
      <c r="F286" s="42"/>
      <c r="G286" s="42"/>
      <c r="H286" s="42"/>
    </row>
    <row r="287" spans="5:8" ht="12.75">
      <c r="E287" s="42"/>
      <c r="F287" s="42"/>
      <c r="G287" s="42"/>
      <c r="H287" s="42"/>
    </row>
    <row r="288" spans="5:8" ht="12.75">
      <c r="E288" s="42"/>
      <c r="F288" s="42"/>
      <c r="G288" s="42"/>
      <c r="H288" s="42"/>
    </row>
    <row r="289" spans="5:8" ht="12.75">
      <c r="E289" s="42"/>
      <c r="F289" s="42"/>
      <c r="G289" s="42"/>
      <c r="H289" s="42"/>
    </row>
    <row r="290" spans="5:8" ht="12.75">
      <c r="E290" s="42"/>
      <c r="F290" s="42"/>
      <c r="G290" s="42"/>
      <c r="H290" s="42"/>
    </row>
    <row r="291" spans="5:8" ht="12.75">
      <c r="E291" s="42"/>
      <c r="F291" s="42"/>
      <c r="G291" s="42"/>
      <c r="H291" s="42"/>
    </row>
    <row r="292" spans="5:8" ht="12.75">
      <c r="E292" s="42"/>
      <c r="F292" s="42"/>
      <c r="G292" s="42"/>
      <c r="H292" s="42"/>
    </row>
    <row r="293" spans="5:8" ht="12.75">
      <c r="E293" s="42"/>
      <c r="F293" s="42"/>
      <c r="G293" s="42"/>
      <c r="H293" s="42"/>
    </row>
    <row r="294" spans="5:8" ht="12.75">
      <c r="E294" s="42"/>
      <c r="F294" s="42"/>
      <c r="G294" s="42"/>
      <c r="H294" s="42"/>
    </row>
    <row r="295" spans="5:8" ht="12.75">
      <c r="E295" s="42"/>
      <c r="F295" s="42"/>
      <c r="G295" s="42"/>
      <c r="H295" s="42"/>
    </row>
    <row r="296" spans="5:8" ht="12.75">
      <c r="E296" s="42"/>
      <c r="F296" s="42"/>
      <c r="G296" s="42"/>
      <c r="H296" s="42"/>
    </row>
    <row r="297" spans="5:8" ht="12.75">
      <c r="E297" s="42"/>
      <c r="F297" s="42"/>
      <c r="G297" s="42"/>
      <c r="H297" s="42"/>
    </row>
    <row r="298" spans="5:8" ht="12.75">
      <c r="E298" s="42"/>
      <c r="F298" s="42"/>
      <c r="G298" s="42"/>
      <c r="H298" s="42"/>
    </row>
    <row r="299" spans="5:8" ht="12.75">
      <c r="E299" s="42"/>
      <c r="F299" s="42"/>
      <c r="G299" s="42"/>
      <c r="H299" s="42"/>
    </row>
    <row r="300" spans="5:8" ht="12.75">
      <c r="E300" s="42"/>
      <c r="F300" s="42"/>
      <c r="G300" s="42"/>
      <c r="H300" s="42"/>
    </row>
    <row r="301" spans="5:8" ht="12.75">
      <c r="E301" s="42"/>
      <c r="F301" s="42"/>
      <c r="G301" s="42"/>
      <c r="H301" s="42"/>
    </row>
    <row r="302" spans="5:8" ht="12.75">
      <c r="E302" s="42"/>
      <c r="F302" s="42"/>
      <c r="G302" s="42"/>
      <c r="H302" s="42"/>
    </row>
    <row r="303" spans="5:8" ht="12.75">
      <c r="E303" s="42"/>
      <c r="F303" s="42"/>
      <c r="G303" s="42"/>
      <c r="H303" s="42"/>
    </row>
    <row r="304" spans="5:8" ht="12.75">
      <c r="E304" s="42"/>
      <c r="F304" s="42"/>
      <c r="G304" s="42"/>
      <c r="H304" s="42"/>
    </row>
    <row r="305" spans="5:8" ht="12.75">
      <c r="E305" s="42"/>
      <c r="F305" s="42"/>
      <c r="G305" s="42"/>
      <c r="H305" s="42"/>
    </row>
    <row r="306" spans="5:8" ht="12.75">
      <c r="E306" s="42"/>
      <c r="F306" s="42"/>
      <c r="G306" s="42"/>
      <c r="H306" s="42"/>
    </row>
    <row r="307" spans="5:8" ht="12.75">
      <c r="E307" s="42"/>
      <c r="F307" s="42"/>
      <c r="G307" s="42"/>
      <c r="H307" s="42"/>
    </row>
    <row r="308" spans="5:8" ht="12.75">
      <c r="E308" s="42"/>
      <c r="F308" s="42"/>
      <c r="G308" s="42"/>
      <c r="H308" s="42"/>
    </row>
    <row r="309" spans="5:8" ht="12.75">
      <c r="E309" s="42"/>
      <c r="F309" s="42"/>
      <c r="G309" s="42"/>
      <c r="H309" s="42"/>
    </row>
    <row r="310" spans="5:8" ht="12.75">
      <c r="E310" s="42"/>
      <c r="F310" s="42"/>
      <c r="G310" s="42"/>
      <c r="H310" s="42"/>
    </row>
    <row r="311" spans="5:8" ht="12.75">
      <c r="E311" s="42"/>
      <c r="F311" s="42"/>
      <c r="G311" s="42"/>
      <c r="H311" s="42"/>
    </row>
    <row r="312" spans="5:8" ht="12.75">
      <c r="E312" s="42"/>
      <c r="F312" s="42"/>
      <c r="G312" s="42"/>
      <c r="H312" s="42"/>
    </row>
    <row r="313" spans="5:8" ht="12.75">
      <c r="E313" s="42"/>
      <c r="F313" s="42"/>
      <c r="G313" s="42"/>
      <c r="H313" s="42"/>
    </row>
    <row r="314" spans="5:8" ht="12.75">
      <c r="E314" s="42"/>
      <c r="F314" s="42"/>
      <c r="G314" s="42"/>
      <c r="H314" s="42"/>
    </row>
    <row r="315" spans="5:8" ht="12.75">
      <c r="E315" s="42"/>
      <c r="F315" s="42"/>
      <c r="G315" s="42"/>
      <c r="H315" s="42"/>
    </row>
    <row r="316" spans="5:8" ht="12.75">
      <c r="E316" s="42"/>
      <c r="F316" s="42"/>
      <c r="G316" s="42"/>
      <c r="H316" s="42"/>
    </row>
    <row r="317" spans="5:8" ht="12.75">
      <c r="E317" s="42"/>
      <c r="F317" s="42"/>
      <c r="G317" s="42"/>
      <c r="H317" s="42"/>
    </row>
    <row r="318" spans="5:8" ht="12.75">
      <c r="E318" s="42"/>
      <c r="F318" s="42"/>
      <c r="G318" s="42"/>
      <c r="H318" s="42"/>
    </row>
    <row r="319" spans="5:8" ht="12.75">
      <c r="E319" s="42"/>
      <c r="F319" s="42"/>
      <c r="G319" s="42"/>
      <c r="H319" s="42"/>
    </row>
    <row r="320" spans="5:8" ht="12.75">
      <c r="E320" s="42"/>
      <c r="F320" s="42"/>
      <c r="G320" s="42"/>
      <c r="H320" s="42"/>
    </row>
    <row r="321" spans="5:8" ht="12.75">
      <c r="E321" s="42"/>
      <c r="F321" s="42"/>
      <c r="G321" s="42"/>
      <c r="H321" s="42"/>
    </row>
    <row r="322" spans="5:8" ht="12.75">
      <c r="E322" s="42"/>
      <c r="F322" s="42"/>
      <c r="G322" s="42"/>
      <c r="H322" s="42"/>
    </row>
    <row r="323" spans="5:8" ht="12.75">
      <c r="E323" s="42"/>
      <c r="F323" s="42"/>
      <c r="G323" s="42"/>
      <c r="H323" s="42"/>
    </row>
    <row r="324" spans="5:8" ht="12.75">
      <c r="E324" s="42"/>
      <c r="F324" s="42"/>
      <c r="G324" s="42"/>
      <c r="H324" s="42"/>
    </row>
    <row r="325" spans="5:8" ht="12.75">
      <c r="E325" s="42"/>
      <c r="F325" s="42"/>
      <c r="G325" s="42"/>
      <c r="H325" s="42"/>
    </row>
    <row r="326" spans="5:8" ht="12.75">
      <c r="E326" s="42"/>
      <c r="F326" s="42"/>
      <c r="G326" s="42"/>
      <c r="H326" s="42"/>
    </row>
    <row r="327" spans="5:8" ht="12.75">
      <c r="E327" s="42"/>
      <c r="F327" s="42"/>
      <c r="G327" s="42"/>
      <c r="H327" s="42"/>
    </row>
    <row r="328" spans="5:8" ht="12.75">
      <c r="E328" s="42"/>
      <c r="F328" s="42"/>
      <c r="G328" s="42"/>
      <c r="H328" s="42"/>
    </row>
    <row r="329" spans="5:8" ht="12.75">
      <c r="E329" s="42"/>
      <c r="F329" s="42"/>
      <c r="G329" s="42"/>
      <c r="H329" s="42"/>
    </row>
    <row r="330" spans="5:8" ht="12.75">
      <c r="E330" s="42"/>
      <c r="F330" s="42"/>
      <c r="G330" s="42"/>
      <c r="H330" s="42"/>
    </row>
    <row r="331" spans="5:8" ht="12.75">
      <c r="E331" s="42"/>
      <c r="F331" s="42"/>
      <c r="G331" s="42"/>
      <c r="H331" s="42"/>
    </row>
    <row r="332" spans="5:8" ht="12.75">
      <c r="E332" s="42"/>
      <c r="F332" s="42"/>
      <c r="G332" s="42"/>
      <c r="H332" s="42"/>
    </row>
    <row r="333" spans="5:8" ht="12.75">
      <c r="E333" s="42"/>
      <c r="F333" s="42"/>
      <c r="G333" s="42"/>
      <c r="H333" s="42"/>
    </row>
    <row r="334" spans="5:8" ht="12.75">
      <c r="E334" s="42"/>
      <c r="F334" s="42"/>
      <c r="G334" s="42"/>
      <c r="H334" s="42"/>
    </row>
    <row r="335" spans="5:8" ht="12.75">
      <c r="E335" s="42"/>
      <c r="F335" s="42"/>
      <c r="G335" s="42"/>
      <c r="H335" s="42"/>
    </row>
    <row r="336" spans="5:8" ht="12.75">
      <c r="E336" s="42"/>
      <c r="F336" s="42"/>
      <c r="G336" s="42"/>
      <c r="H336" s="42"/>
    </row>
    <row r="337" spans="5:8" ht="12.75">
      <c r="E337" s="42"/>
      <c r="F337" s="42"/>
      <c r="G337" s="42"/>
      <c r="H337" s="42"/>
    </row>
    <row r="338" spans="5:8" ht="12.75">
      <c r="E338" s="42"/>
      <c r="F338" s="42"/>
      <c r="G338" s="42"/>
      <c r="H338" s="42"/>
    </row>
    <row r="339" spans="5:8" ht="12.75">
      <c r="E339" s="42"/>
      <c r="F339" s="42"/>
      <c r="G339" s="42"/>
      <c r="H339" s="42"/>
    </row>
    <row r="340" spans="5:8" ht="12.75">
      <c r="E340" s="42"/>
      <c r="F340" s="42"/>
      <c r="G340" s="42"/>
      <c r="H340" s="42"/>
    </row>
    <row r="341" spans="5:8" ht="12.75">
      <c r="E341" s="42"/>
      <c r="F341" s="42"/>
      <c r="G341" s="42"/>
      <c r="H341" s="42"/>
    </row>
    <row r="342" spans="5:8" ht="12.75">
      <c r="E342" s="42"/>
      <c r="F342" s="42"/>
      <c r="G342" s="42"/>
      <c r="H342" s="42"/>
    </row>
    <row r="343" spans="5:8" ht="12.75">
      <c r="E343" s="42"/>
      <c r="F343" s="42"/>
      <c r="G343" s="42"/>
      <c r="H343" s="42"/>
    </row>
    <row r="344" spans="5:8" ht="12.75">
      <c r="E344" s="42"/>
      <c r="F344" s="42"/>
      <c r="G344" s="42"/>
      <c r="H344" s="42"/>
    </row>
    <row r="345" spans="5:8" ht="12.75">
      <c r="E345" s="42"/>
      <c r="F345" s="42"/>
      <c r="G345" s="42"/>
      <c r="H345" s="42"/>
    </row>
    <row r="346" spans="5:8" ht="12.75">
      <c r="E346" s="42"/>
      <c r="F346" s="42"/>
      <c r="G346" s="42"/>
      <c r="H346" s="42"/>
    </row>
    <row r="347" spans="5:8" ht="12.75">
      <c r="E347" s="42"/>
      <c r="F347" s="42"/>
      <c r="G347" s="42"/>
      <c r="H347" s="42"/>
    </row>
    <row r="348" spans="5:8" ht="12.75">
      <c r="E348" s="42"/>
      <c r="F348" s="42"/>
      <c r="G348" s="42"/>
      <c r="H348" s="42"/>
    </row>
    <row r="349" spans="5:8" ht="12.75">
      <c r="E349" s="42"/>
      <c r="F349" s="42"/>
      <c r="G349" s="42"/>
      <c r="H349" s="42"/>
    </row>
    <row r="350" spans="5:8" ht="12.75">
      <c r="E350" s="42"/>
      <c r="F350" s="42"/>
      <c r="G350" s="42"/>
      <c r="H350" s="42"/>
    </row>
    <row r="351" spans="5:8" ht="12.75">
      <c r="E351" s="42"/>
      <c r="F351" s="42"/>
      <c r="G351" s="42"/>
      <c r="H351" s="42"/>
    </row>
    <row r="352" spans="5:8" ht="12.75">
      <c r="E352" s="42"/>
      <c r="F352" s="42"/>
      <c r="G352" s="42"/>
      <c r="H352" s="42"/>
    </row>
    <row r="353" spans="5:8" ht="12.75">
      <c r="E353" s="42"/>
      <c r="F353" s="42"/>
      <c r="G353" s="42"/>
      <c r="H353" s="42"/>
    </row>
    <row r="354" spans="5:8" ht="12.75">
      <c r="E354" s="42"/>
      <c r="F354" s="42"/>
      <c r="G354" s="42"/>
      <c r="H354" s="42"/>
    </row>
    <row r="355" spans="5:8" ht="12.75">
      <c r="E355" s="42"/>
      <c r="F355" s="42"/>
      <c r="G355" s="42"/>
      <c r="H355" s="42"/>
    </row>
    <row r="356" spans="5:8" ht="12.75">
      <c r="E356" s="42"/>
      <c r="F356" s="42"/>
      <c r="G356" s="42"/>
      <c r="H356" s="42"/>
    </row>
    <row r="357" spans="5:8" ht="12.75">
      <c r="E357" s="42"/>
      <c r="F357" s="42"/>
      <c r="G357" s="42"/>
      <c r="H357" s="42"/>
    </row>
    <row r="358" spans="5:8" ht="12.75">
      <c r="E358" s="42"/>
      <c r="F358" s="42"/>
      <c r="G358" s="42"/>
      <c r="H358" s="42"/>
    </row>
    <row r="359" spans="5:8" ht="12.75">
      <c r="E359" s="42"/>
      <c r="F359" s="42"/>
      <c r="G359" s="42"/>
      <c r="H359" s="42"/>
    </row>
    <row r="360" spans="5:8" ht="12.75">
      <c r="E360" s="42"/>
      <c r="F360" s="42"/>
      <c r="G360" s="42"/>
      <c r="H360" s="42"/>
    </row>
    <row r="361" spans="5:8" ht="12.75">
      <c r="E361" s="42"/>
      <c r="F361" s="42"/>
      <c r="G361" s="42"/>
      <c r="H361" s="42"/>
    </row>
    <row r="362" spans="5:8" ht="12.75">
      <c r="E362" s="42"/>
      <c r="F362" s="42"/>
      <c r="G362" s="42"/>
      <c r="H362" s="42"/>
    </row>
    <row r="363" spans="5:8" ht="12.75">
      <c r="E363" s="42"/>
      <c r="F363" s="42"/>
      <c r="G363" s="42"/>
      <c r="H363" s="42"/>
    </row>
    <row r="364" spans="5:8" ht="12.75">
      <c r="E364" s="42"/>
      <c r="F364" s="42"/>
      <c r="G364" s="42"/>
      <c r="H364" s="42"/>
    </row>
    <row r="365" spans="5:8" ht="12.75">
      <c r="E365" s="42"/>
      <c r="F365" s="42"/>
      <c r="G365" s="42"/>
      <c r="H365" s="42"/>
    </row>
    <row r="366" spans="5:8" ht="12.75">
      <c r="E366" s="42"/>
      <c r="F366" s="42"/>
      <c r="G366" s="42"/>
      <c r="H366" s="42"/>
    </row>
    <row r="367" spans="5:8" ht="12.75">
      <c r="E367" s="42"/>
      <c r="F367" s="42"/>
      <c r="G367" s="42"/>
      <c r="H367" s="42"/>
    </row>
    <row r="368" spans="5:8" ht="12.75">
      <c r="E368" s="42"/>
      <c r="F368" s="42"/>
      <c r="G368" s="42"/>
      <c r="H368" s="42"/>
    </row>
    <row r="369" spans="5:8" ht="12.75">
      <c r="E369" s="42"/>
      <c r="F369" s="42"/>
      <c r="G369" s="42"/>
      <c r="H369" s="42"/>
    </row>
    <row r="370" spans="5:8" ht="12.75">
      <c r="E370" s="42"/>
      <c r="F370" s="42"/>
      <c r="G370" s="42"/>
      <c r="H370" s="42"/>
    </row>
    <row r="371" spans="5:8" ht="12.75">
      <c r="E371" s="42"/>
      <c r="F371" s="42"/>
      <c r="G371" s="42"/>
      <c r="H371" s="42"/>
    </row>
    <row r="372" spans="5:8" ht="12.75">
      <c r="E372" s="42"/>
      <c r="F372" s="42"/>
      <c r="G372" s="42"/>
      <c r="H372" s="42"/>
    </row>
    <row r="373" spans="5:8" ht="12.75">
      <c r="E373" s="42"/>
      <c r="F373" s="42"/>
      <c r="G373" s="42"/>
      <c r="H373" s="42"/>
    </row>
    <row r="374" spans="5:8" ht="12.75">
      <c r="E374" s="42"/>
      <c r="F374" s="42"/>
      <c r="G374" s="42"/>
      <c r="H374" s="42"/>
    </row>
    <row r="375" spans="5:8" ht="12.75">
      <c r="E375" s="42"/>
      <c r="F375" s="42"/>
      <c r="G375" s="42"/>
      <c r="H375" s="42"/>
    </row>
    <row r="376" spans="5:8" ht="12.75">
      <c r="E376" s="42"/>
      <c r="F376" s="42"/>
      <c r="G376" s="42"/>
      <c r="H376" s="42"/>
    </row>
    <row r="377" spans="5:8" ht="12.75">
      <c r="E377" s="42"/>
      <c r="F377" s="42"/>
      <c r="G377" s="42"/>
      <c r="H377" s="42"/>
    </row>
    <row r="378" spans="5:8" ht="12.75">
      <c r="E378" s="42"/>
      <c r="F378" s="42"/>
      <c r="G378" s="42"/>
      <c r="H378" s="42"/>
    </row>
    <row r="379" spans="5:8" ht="12.75">
      <c r="E379" s="42"/>
      <c r="F379" s="42"/>
      <c r="G379" s="42"/>
      <c r="H379" s="42"/>
    </row>
    <row r="380" spans="5:8" ht="12.75">
      <c r="E380" s="42"/>
      <c r="F380" s="42"/>
      <c r="G380" s="42"/>
      <c r="H380" s="42"/>
    </row>
    <row r="381" spans="5:8" ht="12.75">
      <c r="E381" s="42"/>
      <c r="F381" s="42"/>
      <c r="G381" s="42"/>
      <c r="H381" s="42"/>
    </row>
    <row r="382" spans="5:8" ht="12.75">
      <c r="E382" s="42"/>
      <c r="F382" s="42"/>
      <c r="G382" s="42"/>
      <c r="H382" s="42"/>
    </row>
    <row r="383" spans="5:8" ht="12.75">
      <c r="E383" s="42"/>
      <c r="F383" s="42"/>
      <c r="G383" s="42"/>
      <c r="H383" s="42"/>
    </row>
    <row r="384" spans="5:8" ht="12.75">
      <c r="E384" s="42"/>
      <c r="F384" s="42"/>
      <c r="G384" s="42"/>
      <c r="H384" s="42"/>
    </row>
    <row r="385" spans="5:8" ht="12.75">
      <c r="E385" s="42"/>
      <c r="F385" s="42"/>
      <c r="G385" s="42"/>
      <c r="H385" s="42"/>
    </row>
    <row r="386" spans="5:8" ht="12.75">
      <c r="E386" s="42"/>
      <c r="F386" s="42"/>
      <c r="G386" s="42"/>
      <c r="H386" s="42"/>
    </row>
    <row r="387" spans="5:8" ht="12.75">
      <c r="E387" s="42"/>
      <c r="F387" s="42"/>
      <c r="G387" s="42"/>
      <c r="H387" s="42"/>
    </row>
    <row r="388" spans="5:8" ht="12.75">
      <c r="E388" s="42"/>
      <c r="F388" s="42"/>
      <c r="G388" s="42"/>
      <c r="H388" s="42"/>
    </row>
    <row r="389" spans="5:8" ht="12.75">
      <c r="E389" s="42"/>
      <c r="F389" s="42"/>
      <c r="G389" s="42"/>
      <c r="H389" s="42"/>
    </row>
    <row r="390" spans="5:8" ht="12.75">
      <c r="E390" s="42"/>
      <c r="F390" s="42"/>
      <c r="G390" s="42"/>
      <c r="H390" s="42"/>
    </row>
    <row r="391" spans="5:8" ht="12.75">
      <c r="E391" s="42"/>
      <c r="F391" s="42"/>
      <c r="G391" s="42"/>
      <c r="H391" s="42"/>
    </row>
    <row r="392" spans="5:8" ht="12.75">
      <c r="E392" s="42"/>
      <c r="F392" s="42"/>
      <c r="G392" s="42"/>
      <c r="H392" s="42"/>
    </row>
    <row r="393" spans="5:8" ht="12.75">
      <c r="E393" s="42"/>
      <c r="F393" s="42"/>
      <c r="G393" s="42"/>
      <c r="H393" s="42"/>
    </row>
    <row r="394" spans="5:8" ht="12.75">
      <c r="E394" s="42"/>
      <c r="F394" s="42"/>
      <c r="G394" s="42"/>
      <c r="H394" s="42"/>
    </row>
    <row r="395" spans="5:8" ht="12.75">
      <c r="E395" s="42"/>
      <c r="F395" s="42"/>
      <c r="G395" s="42"/>
      <c r="H395" s="42"/>
    </row>
    <row r="396" spans="5:8" ht="12.75">
      <c r="E396" s="42"/>
      <c r="F396" s="42"/>
      <c r="G396" s="42"/>
      <c r="H396" s="42"/>
    </row>
    <row r="397" spans="5:8" ht="12.75">
      <c r="E397" s="42"/>
      <c r="F397" s="42"/>
      <c r="G397" s="42"/>
      <c r="H397" s="42"/>
    </row>
    <row r="398" spans="5:8" ht="12.75">
      <c r="E398" s="42"/>
      <c r="F398" s="42"/>
      <c r="G398" s="42"/>
      <c r="H398" s="42"/>
    </row>
    <row r="399" spans="5:8" ht="12.75">
      <c r="E399" s="42"/>
      <c r="F399" s="42"/>
      <c r="G399" s="42"/>
      <c r="H399" s="42"/>
    </row>
    <row r="400" spans="5:8" ht="12.75">
      <c r="E400" s="42"/>
      <c r="F400" s="42"/>
      <c r="G400" s="42"/>
      <c r="H400" s="42"/>
    </row>
    <row r="401" spans="5:8" ht="12.75">
      <c r="E401" s="42"/>
      <c r="F401" s="42"/>
      <c r="G401" s="42"/>
      <c r="H401" s="42"/>
    </row>
    <row r="402" spans="5:8" ht="12.75">
      <c r="E402" s="42"/>
      <c r="F402" s="42"/>
      <c r="G402" s="42"/>
      <c r="H402" s="42"/>
    </row>
    <row r="403" spans="5:8" ht="12.75">
      <c r="E403" s="42"/>
      <c r="F403" s="42"/>
      <c r="G403" s="42"/>
      <c r="H403" s="42"/>
    </row>
    <row r="404" spans="5:8" ht="12.75">
      <c r="E404" s="42"/>
      <c r="F404" s="42"/>
      <c r="G404" s="42"/>
      <c r="H404" s="42"/>
    </row>
    <row r="405" spans="5:8" ht="12.75">
      <c r="E405" s="42"/>
      <c r="F405" s="42"/>
      <c r="G405" s="42"/>
      <c r="H405" s="42"/>
    </row>
    <row r="406" spans="5:8" ht="12.75">
      <c r="E406" s="42"/>
      <c r="F406" s="42"/>
      <c r="G406" s="42"/>
      <c r="H406" s="42"/>
    </row>
    <row r="407" spans="5:8" ht="12.75">
      <c r="E407" s="42"/>
      <c r="F407" s="42"/>
      <c r="G407" s="42"/>
      <c r="H407" s="42"/>
    </row>
    <row r="408" spans="5:8" ht="12.75">
      <c r="E408" s="42"/>
      <c r="F408" s="42"/>
      <c r="G408" s="42"/>
      <c r="H408" s="42"/>
    </row>
    <row r="409" spans="5:8" ht="12.75">
      <c r="E409" s="42"/>
      <c r="F409" s="42"/>
      <c r="G409" s="42"/>
      <c r="H409" s="42"/>
    </row>
    <row r="410" spans="5:8" ht="12.75">
      <c r="E410" s="42"/>
      <c r="F410" s="42"/>
      <c r="G410" s="42"/>
      <c r="H410" s="42"/>
    </row>
    <row r="411" spans="5:8" ht="12.75">
      <c r="E411" s="42"/>
      <c r="F411" s="42"/>
      <c r="G411" s="42"/>
      <c r="H411" s="42"/>
    </row>
    <row r="412" spans="5:8" ht="12.75">
      <c r="E412" s="42"/>
      <c r="F412" s="42"/>
      <c r="G412" s="42"/>
      <c r="H412" s="42"/>
    </row>
    <row r="413" spans="5:8" ht="12.75">
      <c r="E413" s="42"/>
      <c r="F413" s="42"/>
      <c r="G413" s="42"/>
      <c r="H413" s="42"/>
    </row>
    <row r="414" spans="5:8" ht="12.75">
      <c r="E414" s="42"/>
      <c r="F414" s="42"/>
      <c r="G414" s="42"/>
      <c r="H414" s="42"/>
    </row>
    <row r="415" spans="5:8" ht="12.75">
      <c r="E415" s="42"/>
      <c r="F415" s="42"/>
      <c r="G415" s="42"/>
      <c r="H415" s="42"/>
    </row>
    <row r="416" spans="5:8" ht="12.75">
      <c r="E416" s="42"/>
      <c r="F416" s="42"/>
      <c r="G416" s="42"/>
      <c r="H416" s="42"/>
    </row>
    <row r="417" spans="5:8" ht="12.75">
      <c r="E417" s="42"/>
      <c r="F417" s="42"/>
      <c r="G417" s="42"/>
      <c r="H417" s="42"/>
    </row>
    <row r="418" spans="5:8" ht="12.75">
      <c r="E418" s="42"/>
      <c r="F418" s="42"/>
      <c r="G418" s="42"/>
      <c r="H418" s="42"/>
    </row>
    <row r="419" spans="5:8" ht="12.75">
      <c r="E419" s="42"/>
      <c r="F419" s="42"/>
      <c r="G419" s="42"/>
      <c r="H419" s="42"/>
    </row>
    <row r="420" spans="5:8" ht="12.75">
      <c r="E420" s="42"/>
      <c r="F420" s="42"/>
      <c r="G420" s="42"/>
      <c r="H420" s="42"/>
    </row>
    <row r="421" spans="5:8" ht="12.75">
      <c r="E421" s="42"/>
      <c r="F421" s="42"/>
      <c r="G421" s="42"/>
      <c r="H421" s="42"/>
    </row>
    <row r="422" spans="5:8" ht="12.75">
      <c r="E422" s="42"/>
      <c r="F422" s="42"/>
      <c r="G422" s="42"/>
      <c r="H422" s="42"/>
    </row>
    <row r="423" spans="5:8" ht="12.75">
      <c r="E423" s="42"/>
      <c r="F423" s="42"/>
      <c r="G423" s="42"/>
      <c r="H423" s="42"/>
    </row>
    <row r="424" spans="5:8" ht="12.75">
      <c r="E424" s="42"/>
      <c r="F424" s="42"/>
      <c r="G424" s="42"/>
      <c r="H424" s="42"/>
    </row>
    <row r="425" spans="5:8" ht="12.75">
      <c r="E425" s="42"/>
      <c r="F425" s="42"/>
      <c r="G425" s="42"/>
      <c r="H425" s="42"/>
    </row>
    <row r="426" spans="5:8" ht="12.75">
      <c r="E426" s="42"/>
      <c r="F426" s="42"/>
      <c r="G426" s="42"/>
      <c r="H426" s="42"/>
    </row>
    <row r="427" spans="5:8" ht="12.75">
      <c r="E427" s="42"/>
      <c r="F427" s="42"/>
      <c r="G427" s="42"/>
      <c r="H427" s="42"/>
    </row>
    <row r="428" spans="5:8" ht="12.75">
      <c r="E428" s="42"/>
      <c r="F428" s="42"/>
      <c r="G428" s="42"/>
      <c r="H428" s="42"/>
    </row>
    <row r="429" spans="5:8" ht="12.75">
      <c r="E429" s="42"/>
      <c r="F429" s="42"/>
      <c r="G429" s="42"/>
      <c r="H429" s="42"/>
    </row>
    <row r="430" spans="5:8" ht="12.75">
      <c r="E430" s="42"/>
      <c r="F430" s="42"/>
      <c r="G430" s="42"/>
      <c r="H430" s="42"/>
    </row>
    <row r="431" spans="5:8" ht="12.75">
      <c r="E431" s="42"/>
      <c r="F431" s="42"/>
      <c r="G431" s="42"/>
      <c r="H431" s="42"/>
    </row>
    <row r="432" spans="5:8" ht="12.75">
      <c r="E432" s="42"/>
      <c r="F432" s="42"/>
      <c r="G432" s="42"/>
      <c r="H432" s="42"/>
    </row>
    <row r="433" spans="5:8" ht="12.75">
      <c r="E433" s="42"/>
      <c r="F433" s="42"/>
      <c r="G433" s="42"/>
      <c r="H433" s="42"/>
    </row>
    <row r="434" spans="5:8" ht="12.75">
      <c r="E434" s="42"/>
      <c r="F434" s="42"/>
      <c r="G434" s="42"/>
      <c r="H434" s="42"/>
    </row>
    <row r="435" spans="5:8" ht="12.75">
      <c r="E435" s="42"/>
      <c r="F435" s="42"/>
      <c r="G435" s="42"/>
      <c r="H435" s="42"/>
    </row>
    <row r="436" spans="5:8" ht="12.75">
      <c r="E436" s="42"/>
      <c r="F436" s="42"/>
      <c r="G436" s="42"/>
      <c r="H436" s="42"/>
    </row>
    <row r="437" spans="5:8" ht="12.75">
      <c r="E437" s="42"/>
      <c r="F437" s="42"/>
      <c r="G437" s="42"/>
      <c r="H437" s="42"/>
    </row>
    <row r="438" spans="5:8" ht="12.75">
      <c r="E438" s="42"/>
      <c r="F438" s="42"/>
      <c r="G438" s="42"/>
      <c r="H438" s="42"/>
    </row>
    <row r="439" spans="5:8" ht="12.75">
      <c r="E439" s="42"/>
      <c r="F439" s="42"/>
      <c r="G439" s="42"/>
      <c r="H439" s="42"/>
    </row>
    <row r="440" spans="5:8" ht="12.75">
      <c r="E440" s="42"/>
      <c r="F440" s="42"/>
      <c r="G440" s="42"/>
      <c r="H440" s="42"/>
    </row>
    <row r="441" spans="5:8" ht="12.75">
      <c r="E441" s="42"/>
      <c r="F441" s="42"/>
      <c r="G441" s="42"/>
      <c r="H441" s="42"/>
    </row>
    <row r="442" spans="5:8" ht="12.75">
      <c r="E442" s="42"/>
      <c r="F442" s="42"/>
      <c r="G442" s="42"/>
      <c r="H442" s="42"/>
    </row>
    <row r="443" spans="5:8" ht="12.75">
      <c r="E443" s="42"/>
      <c r="F443" s="42"/>
      <c r="G443" s="42"/>
      <c r="H443" s="42"/>
    </row>
    <row r="444" spans="5:8" ht="12.75">
      <c r="E444" s="42"/>
      <c r="F444" s="42"/>
      <c r="G444" s="42"/>
      <c r="H444" s="42"/>
    </row>
    <row r="445" spans="5:8" ht="12.75">
      <c r="E445" s="42"/>
      <c r="F445" s="42"/>
      <c r="G445" s="42"/>
      <c r="H445" s="42"/>
    </row>
    <row r="446" spans="5:8" ht="12.75">
      <c r="E446" s="42"/>
      <c r="F446" s="42"/>
      <c r="G446" s="42"/>
      <c r="H446" s="42"/>
    </row>
    <row r="447" spans="5:8" ht="12.75">
      <c r="E447" s="42"/>
      <c r="F447" s="42"/>
      <c r="G447" s="42"/>
      <c r="H447" s="42"/>
    </row>
    <row r="448" spans="5:8" ht="12.75">
      <c r="E448" s="42"/>
      <c r="F448" s="42"/>
      <c r="G448" s="42"/>
      <c r="H448" s="42"/>
    </row>
    <row r="449" spans="5:8" ht="12.75">
      <c r="E449" s="42"/>
      <c r="F449" s="42"/>
      <c r="G449" s="42"/>
      <c r="H449" s="42"/>
    </row>
    <row r="450" spans="5:8" ht="12.75">
      <c r="E450" s="42"/>
      <c r="F450" s="42"/>
      <c r="G450" s="42"/>
      <c r="H450" s="42"/>
    </row>
    <row r="451" spans="5:8" ht="12.75">
      <c r="E451" s="42"/>
      <c r="F451" s="42"/>
      <c r="G451" s="42"/>
      <c r="H451" s="42"/>
    </row>
    <row r="452" spans="5:8" ht="12.75">
      <c r="E452" s="42"/>
      <c r="F452" s="42"/>
      <c r="G452" s="42"/>
      <c r="H452" s="42"/>
    </row>
    <row r="453" spans="5:8" ht="12.75">
      <c r="E453" s="42"/>
      <c r="F453" s="42"/>
      <c r="G453" s="42"/>
      <c r="H453" s="42"/>
    </row>
    <row r="454" spans="5:8" ht="12.75">
      <c r="E454" s="42"/>
      <c r="F454" s="42"/>
      <c r="G454" s="42"/>
      <c r="H454" s="42"/>
    </row>
    <row r="455" spans="5:8" ht="12.75">
      <c r="E455" s="42"/>
      <c r="F455" s="42"/>
      <c r="G455" s="42"/>
      <c r="H455" s="42"/>
    </row>
    <row r="456" spans="5:8" ht="12.75">
      <c r="E456" s="42"/>
      <c r="F456" s="42"/>
      <c r="G456" s="42"/>
      <c r="H456" s="42"/>
    </row>
    <row r="457" spans="5:8" ht="12.75">
      <c r="E457" s="42"/>
      <c r="F457" s="42"/>
      <c r="G457" s="42"/>
      <c r="H457" s="42"/>
    </row>
    <row r="458" spans="5:8" ht="12.75">
      <c r="E458" s="42"/>
      <c r="F458" s="42"/>
      <c r="G458" s="42"/>
      <c r="H458" s="42"/>
    </row>
    <row r="459" spans="5:8" ht="12.75">
      <c r="E459" s="42"/>
      <c r="F459" s="42"/>
      <c r="G459" s="42"/>
      <c r="H459" s="42"/>
    </row>
    <row r="460" spans="5:8" ht="12.75">
      <c r="E460" s="42"/>
      <c r="F460" s="42"/>
      <c r="G460" s="42"/>
      <c r="H460" s="42"/>
    </row>
    <row r="461" spans="5:8" ht="12.75">
      <c r="E461" s="42"/>
      <c r="F461" s="42"/>
      <c r="G461" s="42"/>
      <c r="H461" s="42"/>
    </row>
    <row r="462" spans="5:8" ht="12.75">
      <c r="E462" s="42"/>
      <c r="F462" s="42"/>
      <c r="G462" s="42"/>
      <c r="H462" s="42"/>
    </row>
    <row r="463" spans="5:8" ht="12.75">
      <c r="E463" s="42"/>
      <c r="F463" s="42"/>
      <c r="G463" s="42"/>
      <c r="H463" s="42"/>
    </row>
    <row r="464" spans="5:8" ht="12.75">
      <c r="E464" s="42"/>
      <c r="F464" s="42"/>
      <c r="G464" s="42"/>
      <c r="H464" s="42"/>
    </row>
    <row r="465" spans="5:8" ht="12.75">
      <c r="E465" s="42"/>
      <c r="F465" s="42"/>
      <c r="G465" s="42"/>
      <c r="H465" s="42"/>
    </row>
    <row r="466" spans="5:8" ht="12.75">
      <c r="E466" s="42"/>
      <c r="F466" s="42"/>
      <c r="G466" s="42"/>
      <c r="H466" s="42"/>
    </row>
    <row r="467" spans="5:8" ht="12.75">
      <c r="E467" s="42"/>
      <c r="F467" s="42"/>
      <c r="G467" s="42"/>
      <c r="H467" s="42"/>
    </row>
    <row r="468" spans="5:8" ht="12.75">
      <c r="E468" s="42"/>
      <c r="F468" s="42"/>
      <c r="G468" s="42"/>
      <c r="H468" s="42"/>
    </row>
    <row r="469" spans="5:8" ht="12.75">
      <c r="E469" s="42"/>
      <c r="F469" s="42"/>
      <c r="G469" s="42"/>
      <c r="H469" s="42"/>
    </row>
    <row r="470" spans="5:8" ht="12.75">
      <c r="E470" s="42"/>
      <c r="F470" s="42"/>
      <c r="G470" s="42"/>
      <c r="H470" s="42"/>
    </row>
    <row r="471" spans="5:8" ht="12.75">
      <c r="E471" s="42"/>
      <c r="F471" s="42"/>
      <c r="G471" s="42"/>
      <c r="H471" s="42"/>
    </row>
    <row r="472" spans="5:8" ht="12.75">
      <c r="E472" s="42"/>
      <c r="F472" s="42"/>
      <c r="G472" s="42"/>
      <c r="H472" s="42"/>
    </row>
    <row r="473" spans="5:8" ht="12.75">
      <c r="E473" s="42"/>
      <c r="F473" s="42"/>
      <c r="G473" s="42"/>
      <c r="H473" s="42"/>
    </row>
    <row r="474" spans="5:8" ht="12.75">
      <c r="E474" s="42"/>
      <c r="F474" s="42"/>
      <c r="G474" s="42"/>
      <c r="H474" s="42"/>
    </row>
    <row r="475" spans="5:8" ht="12.75">
      <c r="E475" s="42"/>
      <c r="F475" s="42"/>
      <c r="G475" s="42"/>
      <c r="H475" s="42"/>
    </row>
    <row r="476" spans="5:8" ht="12.75">
      <c r="E476" s="42"/>
      <c r="F476" s="42"/>
      <c r="G476" s="42"/>
      <c r="H476" s="42"/>
    </row>
    <row r="477" spans="5:8" ht="12.75">
      <c r="E477" s="42"/>
      <c r="F477" s="42"/>
      <c r="G477" s="42"/>
      <c r="H477" s="42"/>
    </row>
    <row r="478" spans="5:8" ht="12.75">
      <c r="E478" s="42"/>
      <c r="F478" s="42"/>
      <c r="G478" s="42"/>
      <c r="H478" s="42"/>
    </row>
    <row r="479" spans="5:8" ht="12.75">
      <c r="E479" s="42"/>
      <c r="F479" s="42"/>
      <c r="G479" s="42"/>
      <c r="H479" s="42"/>
    </row>
    <row r="480" spans="5:8" ht="12.75">
      <c r="E480" s="42"/>
      <c r="F480" s="42"/>
      <c r="G480" s="42"/>
      <c r="H480" s="42"/>
    </row>
    <row r="481" spans="5:8" ht="12.75">
      <c r="E481" s="42"/>
      <c r="F481" s="42"/>
      <c r="G481" s="42"/>
      <c r="H481" s="42"/>
    </row>
    <row r="482" spans="5:8" ht="12.75">
      <c r="E482" s="42"/>
      <c r="F482" s="42"/>
      <c r="G482" s="42"/>
      <c r="H482" s="42"/>
    </row>
    <row r="483" spans="5:8" ht="12.75">
      <c r="E483" s="42"/>
      <c r="F483" s="42"/>
      <c r="G483" s="42"/>
      <c r="H483" s="42"/>
    </row>
    <row r="484" spans="5:8" ht="12.75">
      <c r="E484" s="42"/>
      <c r="F484" s="42"/>
      <c r="G484" s="42"/>
      <c r="H484" s="42"/>
    </row>
    <row r="485" spans="5:8" ht="12.75">
      <c r="E485" s="42"/>
      <c r="F485" s="42"/>
      <c r="G485" s="42"/>
      <c r="H485" s="42"/>
    </row>
    <row r="486" spans="5:8" ht="12.75">
      <c r="E486" s="42"/>
      <c r="F486" s="42"/>
      <c r="G486" s="42"/>
      <c r="H486" s="42"/>
    </row>
    <row r="487" spans="5:8" ht="12.75">
      <c r="E487" s="42"/>
      <c r="F487" s="42"/>
      <c r="G487" s="42"/>
      <c r="H487" s="42"/>
    </row>
    <row r="488" spans="5:8" ht="12.75">
      <c r="E488" s="42"/>
      <c r="F488" s="42"/>
      <c r="G488" s="42"/>
      <c r="H488" s="42"/>
    </row>
    <row r="489" spans="5:8" ht="12.75">
      <c r="E489" s="42"/>
      <c r="F489" s="42"/>
      <c r="G489" s="42"/>
      <c r="H489" s="42"/>
    </row>
    <row r="490" spans="5:8" ht="12.75">
      <c r="E490" s="42"/>
      <c r="F490" s="42"/>
      <c r="G490" s="42"/>
      <c r="H490" s="42"/>
    </row>
    <row r="491" spans="5:8" ht="12.75">
      <c r="E491" s="42"/>
      <c r="F491" s="42"/>
      <c r="G491" s="42"/>
      <c r="H491" s="42"/>
    </row>
    <row r="492" spans="5:8" ht="12.75">
      <c r="E492" s="42"/>
      <c r="F492" s="42"/>
      <c r="G492" s="42"/>
      <c r="H492" s="42"/>
    </row>
    <row r="493" spans="5:8" ht="12.75">
      <c r="E493" s="42"/>
      <c r="F493" s="42"/>
      <c r="G493" s="42"/>
      <c r="H493" s="42"/>
    </row>
    <row r="494" spans="5:8" ht="12.75">
      <c r="E494" s="42"/>
      <c r="F494" s="42"/>
      <c r="G494" s="42"/>
      <c r="H494" s="42"/>
    </row>
    <row r="495" spans="5:8" ht="12.75">
      <c r="E495" s="42"/>
      <c r="F495" s="42"/>
      <c r="G495" s="42"/>
      <c r="H495" s="42"/>
    </row>
    <row r="496" spans="5:8" ht="12.75">
      <c r="E496" s="42"/>
      <c r="F496" s="42"/>
      <c r="G496" s="42"/>
      <c r="H496" s="42"/>
    </row>
    <row r="497" spans="5:8" ht="12.75">
      <c r="E497" s="42"/>
      <c r="F497" s="42"/>
      <c r="G497" s="42"/>
      <c r="H497" s="42"/>
    </row>
    <row r="498" spans="5:8" ht="12.75">
      <c r="E498" s="42"/>
      <c r="F498" s="42"/>
      <c r="G498" s="42"/>
      <c r="H498" s="42"/>
    </row>
    <row r="499" spans="5:8" ht="12.75">
      <c r="E499" s="42"/>
      <c r="F499" s="42"/>
      <c r="G499" s="42"/>
      <c r="H499" s="42"/>
    </row>
    <row r="500" spans="5:8" ht="12.75">
      <c r="E500" s="42"/>
      <c r="F500" s="42"/>
      <c r="G500" s="42"/>
      <c r="H500" s="42"/>
    </row>
    <row r="501" spans="5:8" ht="12.75">
      <c r="E501" s="42"/>
      <c r="F501" s="42"/>
      <c r="G501" s="42"/>
      <c r="H501" s="42"/>
    </row>
    <row r="502" spans="5:8" ht="12.75">
      <c r="E502" s="42"/>
      <c r="F502" s="42"/>
      <c r="G502" s="42"/>
      <c r="H502" s="42"/>
    </row>
    <row r="503" spans="5:8" ht="12.75">
      <c r="E503" s="42"/>
      <c r="F503" s="42"/>
      <c r="G503" s="42"/>
      <c r="H503" s="42"/>
    </row>
    <row r="504" spans="5:8" ht="12.75">
      <c r="E504" s="42"/>
      <c r="F504" s="42"/>
      <c r="G504" s="42"/>
      <c r="H504" s="42"/>
    </row>
    <row r="505" spans="5:8" ht="12.75">
      <c r="E505" s="42"/>
      <c r="F505" s="42"/>
      <c r="G505" s="42"/>
      <c r="H505" s="42"/>
    </row>
    <row r="506" spans="5:8" ht="12.75">
      <c r="E506" s="42"/>
      <c r="F506" s="42"/>
      <c r="G506" s="42"/>
      <c r="H506" s="42"/>
    </row>
    <row r="507" spans="5:8" ht="12.75">
      <c r="E507" s="42"/>
      <c r="F507" s="42"/>
      <c r="G507" s="42"/>
      <c r="H507" s="42"/>
    </row>
    <row r="508" spans="5:8" ht="12.75">
      <c r="E508" s="42"/>
      <c r="F508" s="42"/>
      <c r="G508" s="42"/>
      <c r="H508" s="42"/>
    </row>
    <row r="509" spans="5:8" ht="12.75">
      <c r="E509" s="42"/>
      <c r="F509" s="42"/>
      <c r="G509" s="42"/>
      <c r="H509" s="42"/>
    </row>
    <row r="510" spans="5:8" ht="12.75">
      <c r="E510" s="42"/>
      <c r="F510" s="42"/>
      <c r="G510" s="42"/>
      <c r="H510" s="42"/>
    </row>
    <row r="511" spans="5:8" ht="12.75">
      <c r="E511" s="42"/>
      <c r="F511" s="42"/>
      <c r="G511" s="42"/>
      <c r="H511" s="42"/>
    </row>
    <row r="512" spans="5:8" ht="12.75">
      <c r="E512" s="42"/>
      <c r="F512" s="42"/>
      <c r="G512" s="42"/>
      <c r="H512" s="42"/>
    </row>
    <row r="513" spans="5:8" ht="12.75">
      <c r="E513" s="42"/>
      <c r="F513" s="42"/>
      <c r="G513" s="42"/>
      <c r="H513" s="42"/>
    </row>
    <row r="514" spans="5:8" ht="12.75">
      <c r="E514" s="42"/>
      <c r="F514" s="42"/>
      <c r="G514" s="42"/>
      <c r="H514" s="42"/>
    </row>
    <row r="515" spans="5:8" ht="12.75">
      <c r="E515" s="42"/>
      <c r="F515" s="42"/>
      <c r="G515" s="42"/>
      <c r="H515" s="42"/>
    </row>
    <row r="516" spans="5:8" ht="12.75">
      <c r="E516" s="42"/>
      <c r="F516" s="42"/>
      <c r="G516" s="42"/>
      <c r="H516" s="42"/>
    </row>
    <row r="517" spans="5:8" ht="12.75">
      <c r="E517" s="42"/>
      <c r="F517" s="42"/>
      <c r="G517" s="42"/>
      <c r="H517" s="42"/>
    </row>
    <row r="518" spans="5:8" ht="12.75">
      <c r="E518" s="42"/>
      <c r="F518" s="42"/>
      <c r="G518" s="42"/>
      <c r="H518" s="42"/>
    </row>
    <row r="519" spans="5:8" ht="12.75">
      <c r="E519" s="42"/>
      <c r="F519" s="42"/>
      <c r="G519" s="42"/>
      <c r="H519" s="42"/>
    </row>
    <row r="520" spans="5:8" ht="12.75">
      <c r="E520" s="42"/>
      <c r="F520" s="42"/>
      <c r="G520" s="42"/>
      <c r="H520" s="42"/>
    </row>
    <row r="521" spans="5:8" ht="12.75">
      <c r="E521" s="42"/>
      <c r="F521" s="42"/>
      <c r="G521" s="42"/>
      <c r="H521" s="42"/>
    </row>
    <row r="522" spans="5:8" ht="12.75">
      <c r="E522" s="42"/>
      <c r="F522" s="42"/>
      <c r="G522" s="42"/>
      <c r="H522" s="42"/>
    </row>
    <row r="523" spans="5:8" ht="12.75">
      <c r="E523" s="42"/>
      <c r="F523" s="42"/>
      <c r="G523" s="42"/>
      <c r="H523" s="42"/>
    </row>
    <row r="524" spans="5:8" ht="12.75">
      <c r="E524" s="42"/>
      <c r="F524" s="42"/>
      <c r="G524" s="42"/>
      <c r="H524" s="42"/>
    </row>
    <row r="525" spans="5:8" ht="12.75">
      <c r="E525" s="42"/>
      <c r="F525" s="42"/>
      <c r="G525" s="42"/>
      <c r="H525" s="42"/>
    </row>
    <row r="526" spans="5:8" ht="12.75">
      <c r="E526" s="42"/>
      <c r="F526" s="42"/>
      <c r="G526" s="42"/>
      <c r="H526" s="42"/>
    </row>
    <row r="527" spans="5:8" ht="12.75">
      <c r="E527" s="42"/>
      <c r="F527" s="42"/>
      <c r="G527" s="42"/>
      <c r="H527" s="42"/>
    </row>
    <row r="528" spans="5:8" ht="12.75">
      <c r="E528" s="42"/>
      <c r="F528" s="42"/>
      <c r="G528" s="42"/>
      <c r="H528" s="42"/>
    </row>
    <row r="529" spans="5:8" ht="12.75">
      <c r="E529" s="42"/>
      <c r="F529" s="42"/>
      <c r="G529" s="42"/>
      <c r="H529" s="42"/>
    </row>
    <row r="530" spans="5:8" ht="12.75">
      <c r="E530" s="42"/>
      <c r="F530" s="42"/>
      <c r="G530" s="42"/>
      <c r="H530" s="42"/>
    </row>
    <row r="531" spans="5:8" ht="12.75">
      <c r="E531" s="42"/>
      <c r="F531" s="42"/>
      <c r="G531" s="42"/>
      <c r="H531" s="42"/>
    </row>
    <row r="532" spans="5:8" ht="12.75">
      <c r="E532" s="42"/>
      <c r="F532" s="42"/>
      <c r="G532" s="42"/>
      <c r="H532" s="42"/>
    </row>
    <row r="533" spans="5:8" ht="12.75">
      <c r="E533" s="42"/>
      <c r="F533" s="42"/>
      <c r="G533" s="42"/>
      <c r="H533" s="42"/>
    </row>
    <row r="534" spans="5:8" ht="12.75">
      <c r="E534" s="42"/>
      <c r="F534" s="42"/>
      <c r="G534" s="42"/>
      <c r="H534" s="42"/>
    </row>
    <row r="535" spans="5:8" ht="12.75">
      <c r="E535" s="42"/>
      <c r="F535" s="42"/>
      <c r="G535" s="42"/>
      <c r="H535" s="42"/>
    </row>
    <row r="536" spans="5:8" ht="12.75">
      <c r="E536" s="42"/>
      <c r="F536" s="42"/>
      <c r="G536" s="42"/>
      <c r="H536" s="42"/>
    </row>
    <row r="537" spans="5:8" ht="12.75">
      <c r="E537" s="42"/>
      <c r="F537" s="42"/>
      <c r="G537" s="42"/>
      <c r="H537" s="42"/>
    </row>
    <row r="538" spans="5:8" ht="12.75">
      <c r="E538" s="42"/>
      <c r="F538" s="42"/>
      <c r="G538" s="42"/>
      <c r="H538" s="42"/>
    </row>
    <row r="539" spans="5:8" ht="12.75">
      <c r="E539" s="42"/>
      <c r="F539" s="42"/>
      <c r="G539" s="42"/>
      <c r="H539" s="42"/>
    </row>
    <row r="540" spans="5:8" ht="12.75">
      <c r="E540" s="42"/>
      <c r="F540" s="42"/>
      <c r="G540" s="42"/>
      <c r="H540" s="42"/>
    </row>
    <row r="541" spans="5:8" ht="12.75">
      <c r="E541" s="42"/>
      <c r="F541" s="42"/>
      <c r="G541" s="42"/>
      <c r="H541" s="42"/>
    </row>
    <row r="542" spans="5:8" ht="12.75">
      <c r="E542" s="42"/>
      <c r="F542" s="42"/>
      <c r="G542" s="42"/>
      <c r="H542" s="42"/>
    </row>
    <row r="543" spans="5:8" ht="12.75">
      <c r="E543" s="42"/>
      <c r="F543" s="42"/>
      <c r="G543" s="42"/>
      <c r="H543" s="42"/>
    </row>
    <row r="544" spans="5:8" ht="12.75">
      <c r="E544" s="42"/>
      <c r="F544" s="42"/>
      <c r="G544" s="42"/>
      <c r="H544" s="42"/>
    </row>
    <row r="545" spans="5:8" ht="12.75">
      <c r="E545" s="42"/>
      <c r="F545" s="42"/>
      <c r="G545" s="42"/>
      <c r="H545" s="42"/>
    </row>
    <row r="546" spans="5:8" ht="12.75">
      <c r="E546" s="42"/>
      <c r="F546" s="42"/>
      <c r="G546" s="42"/>
      <c r="H546" s="42"/>
    </row>
    <row r="547" spans="5:8" ht="12.75">
      <c r="E547" s="42"/>
      <c r="F547" s="42"/>
      <c r="G547" s="42"/>
      <c r="H547" s="42"/>
    </row>
    <row r="548" spans="5:8" ht="12.75">
      <c r="E548" s="42"/>
      <c r="F548" s="42"/>
      <c r="G548" s="42"/>
      <c r="H548" s="42"/>
    </row>
    <row r="549" spans="5:8" ht="12.75">
      <c r="E549" s="42"/>
      <c r="F549" s="42"/>
      <c r="G549" s="42"/>
      <c r="H549" s="42"/>
    </row>
    <row r="550" spans="5:8" ht="12.75">
      <c r="E550" s="42"/>
      <c r="F550" s="42"/>
      <c r="G550" s="42"/>
      <c r="H550" s="42"/>
    </row>
    <row r="551" spans="5:8" ht="12.75">
      <c r="E551" s="42"/>
      <c r="F551" s="42"/>
      <c r="G551" s="42"/>
      <c r="H551" s="42"/>
    </row>
    <row r="552" spans="5:8" ht="12.75">
      <c r="E552" s="42"/>
      <c r="F552" s="42"/>
      <c r="G552" s="42"/>
      <c r="H552" s="42"/>
    </row>
    <row r="553" spans="5:8" ht="12.75">
      <c r="E553" s="42"/>
      <c r="F553" s="42"/>
      <c r="G553" s="42"/>
      <c r="H553" s="42"/>
    </row>
    <row r="554" spans="5:8" ht="12.75">
      <c r="E554" s="42"/>
      <c r="F554" s="42"/>
      <c r="G554" s="42"/>
      <c r="H554" s="42"/>
    </row>
  </sheetData>
  <sheetProtection/>
  <printOptions/>
  <pageMargins left="0.75" right="0.75" top="1" bottom="1" header="0.5" footer="0.5"/>
  <pageSetup horizontalDpi="300" verticalDpi="300" orientation="portrait" r:id="rId1"/>
  <headerFooter alignWithMargins="0">
    <oddHeader>&amp;C&amp;"Arial,Bold"&amp;12Capital Expenses&amp;10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I27" sqref="I27"/>
    </sheetView>
  </sheetViews>
  <sheetFormatPr defaultColWidth="9.140625" defaultRowHeight="12.75"/>
  <cols>
    <col min="1" max="1" width="2.7109375" style="18" customWidth="1"/>
    <col min="2" max="2" width="31.140625" style="18" customWidth="1"/>
    <col min="3" max="4" width="10.7109375" style="18" customWidth="1"/>
    <col min="5" max="16384" width="9.140625" style="18" customWidth="1"/>
  </cols>
  <sheetData>
    <row r="1" ht="15.75">
      <c r="A1" s="28" t="s">
        <v>276</v>
      </c>
    </row>
    <row r="3" spans="3:4" ht="38.25">
      <c r="C3" s="20" t="s">
        <v>84</v>
      </c>
      <c r="D3" s="21" t="s">
        <v>104</v>
      </c>
    </row>
    <row r="4" spans="1:3" ht="12.75">
      <c r="A4" s="22" t="s">
        <v>23</v>
      </c>
      <c r="C4" s="23"/>
    </row>
    <row r="5" ht="12.75">
      <c r="C5" s="19"/>
    </row>
    <row r="6" ht="12.75">
      <c r="A6" s="22" t="s">
        <v>95</v>
      </c>
    </row>
    <row r="7" spans="2:4" ht="12.75">
      <c r="B7" s="18" t="s">
        <v>85</v>
      </c>
      <c r="C7" s="24">
        <v>45</v>
      </c>
      <c r="D7" s="24">
        <f>C7*12</f>
        <v>540</v>
      </c>
    </row>
    <row r="8" spans="2:4" ht="12.75">
      <c r="B8" s="18" t="s">
        <v>86</v>
      </c>
      <c r="C8" s="24">
        <v>69</v>
      </c>
      <c r="D8" s="25">
        <f>C8*12</f>
        <v>828</v>
      </c>
    </row>
    <row r="9" spans="1:4" ht="12.75">
      <c r="A9" s="18" t="s">
        <v>96</v>
      </c>
      <c r="C9" s="26">
        <f>C7+C8</f>
        <v>114</v>
      </c>
      <c r="D9" s="24">
        <f>C9*12</f>
        <v>1368</v>
      </c>
    </row>
    <row r="11" ht="12.75">
      <c r="A11" s="22" t="s">
        <v>97</v>
      </c>
    </row>
    <row r="12" spans="2:4" ht="12.75">
      <c r="B12" s="18" t="s">
        <v>87</v>
      </c>
      <c r="C12" s="24">
        <v>9</v>
      </c>
      <c r="D12" s="24">
        <f aca="true" t="shared" si="0" ref="D12:D17">C12*12</f>
        <v>108</v>
      </c>
    </row>
    <row r="13" spans="2:4" ht="12.75">
      <c r="B13" s="18" t="s">
        <v>88</v>
      </c>
      <c r="C13" s="24">
        <v>6</v>
      </c>
      <c r="D13" s="24">
        <f t="shared" si="0"/>
        <v>72</v>
      </c>
    </row>
    <row r="14" spans="2:4" ht="12.75">
      <c r="B14" s="18" t="s">
        <v>89</v>
      </c>
      <c r="C14" s="24">
        <v>5</v>
      </c>
      <c r="D14" s="24">
        <f t="shared" si="0"/>
        <v>60</v>
      </c>
    </row>
    <row r="15" spans="2:4" ht="12.75">
      <c r="B15" s="18" t="s">
        <v>90</v>
      </c>
      <c r="C15" s="24">
        <v>29</v>
      </c>
      <c r="D15" s="24">
        <f t="shared" si="0"/>
        <v>348</v>
      </c>
    </row>
    <row r="16" spans="2:4" ht="12.75">
      <c r="B16" s="18" t="s">
        <v>91</v>
      </c>
      <c r="C16" s="24">
        <v>24</v>
      </c>
      <c r="D16" s="25">
        <f t="shared" si="0"/>
        <v>288</v>
      </c>
    </row>
    <row r="17" spans="1:4" ht="12.75">
      <c r="A17" s="18" t="s">
        <v>98</v>
      </c>
      <c r="C17" s="26">
        <f>SUM(C12:C16)</f>
        <v>73</v>
      </c>
      <c r="D17" s="24">
        <f t="shared" si="0"/>
        <v>876</v>
      </c>
    </row>
    <row r="19" ht="12.75">
      <c r="A19" s="22" t="s">
        <v>99</v>
      </c>
    </row>
    <row r="20" spans="2:4" ht="12.75">
      <c r="B20" s="18" t="s">
        <v>92</v>
      </c>
      <c r="C20" s="24">
        <v>222</v>
      </c>
      <c r="D20" s="24">
        <f>C20*12</f>
        <v>2664</v>
      </c>
    </row>
    <row r="21" spans="2:4" ht="12.75">
      <c r="B21" s="18" t="s">
        <v>93</v>
      </c>
      <c r="C21" s="24">
        <v>12</v>
      </c>
      <c r="D21" s="25">
        <f>C21*12</f>
        <v>144</v>
      </c>
    </row>
    <row r="22" spans="1:4" ht="12.75">
      <c r="A22" s="18" t="s">
        <v>100</v>
      </c>
      <c r="C22" s="26">
        <f>C20+C21</f>
        <v>234</v>
      </c>
      <c r="D22" s="24">
        <f>C22*12</f>
        <v>2808</v>
      </c>
    </row>
    <row r="24" ht="12.75">
      <c r="A24" s="22" t="s">
        <v>101</v>
      </c>
    </row>
    <row r="25" spans="2:4" ht="12.75">
      <c r="B25" s="18" t="s">
        <v>94</v>
      </c>
      <c r="C25" s="24">
        <v>50</v>
      </c>
      <c r="D25" s="25">
        <f>C25*12</f>
        <v>600</v>
      </c>
    </row>
    <row r="26" spans="1:4" ht="12.75">
      <c r="A26" s="18" t="s">
        <v>102</v>
      </c>
      <c r="C26" s="26">
        <f>C25</f>
        <v>50</v>
      </c>
      <c r="D26" s="24">
        <f>C26*12</f>
        <v>600</v>
      </c>
    </row>
    <row r="27" spans="1:4" ht="13.5" thickBot="1">
      <c r="A27" s="18" t="s">
        <v>103</v>
      </c>
      <c r="C27" s="27">
        <f>C9+C17+C22+C25</f>
        <v>471</v>
      </c>
      <c r="D27" s="27">
        <f>C27*12</f>
        <v>5652</v>
      </c>
    </row>
    <row r="28" ht="13.5" thickTop="1"/>
  </sheetData>
  <sheetProtection/>
  <printOptions/>
  <pageMargins left="0.75" right="0.75" top="1" bottom="1" header="0.5" footer="0.5"/>
  <pageSetup horizontalDpi="300" verticalDpi="300" orientation="portrait" r:id="rId1"/>
  <headerFooter alignWithMargins="0">
    <oddHeader>&amp;C&amp;"Arial,Bold"Miscellaneous Expenses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Meyer</dc:creator>
  <cp:keywords/>
  <dc:description/>
  <cp:lastModifiedBy>mkoraly</cp:lastModifiedBy>
  <cp:lastPrinted>2007-07-23T04:49:03Z</cp:lastPrinted>
  <dcterms:created xsi:type="dcterms:W3CDTF">1999-03-15T21:46:41Z</dcterms:created>
  <dcterms:modified xsi:type="dcterms:W3CDTF">2012-11-14T20:20:29Z</dcterms:modified>
  <cp:category/>
  <cp:version/>
  <cp:contentType/>
  <cp:contentStatus/>
</cp:coreProperties>
</file>